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https://sydneywatercorporation-my.sharepoint.com/personal/hdm_sydneywater_com_au/Documents/SydneyWater/01 Business Dev/01 CDP4 Business/01 Infras Contrib/05 Flow Sub TOOL/FST/"/>
    </mc:Choice>
  </mc:AlternateContent>
  <xr:revisionPtr revIDLastSave="88" documentId="8_{7BCD4520-3E21-4E7A-9F74-795BA4CCD88F}" xr6:coauthVersionLast="47" xr6:coauthVersionMax="47" xr10:uidLastSave="{5A01B0FB-AFF4-41DF-AB0C-05702948F73A}"/>
  <workbookProtection workbookAlgorithmName="SHA-512" workbookHashValue="aX2CMZK1LUWOZ5ecuP0lM2j7tmWc3VpspebOJ/ZaccelV5UY8myMtYl9Eq0E7KaPdSDktXWmHsdXImSsnvjmlQ==" workbookSaltValue="QCz57E8m56kyh41bvUiruw==" workbookSpinCount="100000" lockStructure="1"/>
  <bookViews>
    <workbookView xWindow="-16395" yWindow="-17745" windowWidth="33660" windowHeight="16200" xr2:uid="{10870CDB-04C5-4AFE-9754-028F62EF191E}"/>
  </bookViews>
  <sheets>
    <sheet name="About &amp; How to Use" sheetId="25" r:id="rId1"/>
    <sheet name="Summary" sheetId="30" r:id="rId2"/>
    <sheet name="Data Input" sheetId="23" r:id="rId3"/>
    <sheet name="Consultant Report" sheetId="27" r:id="rId4"/>
    <sheet name="Concept of Additional Demand" sheetId="32" r:id="rId5"/>
    <sheet name="ADWUT" sheetId="19" state="hidden" r:id="rId6"/>
    <sheet name="Lists" sheetId="24" state="hidden" r:id="rId7"/>
    <sheet name="DELETE" sheetId="33" state="hidden" r:id="rId8"/>
    <sheet name="Feedback" sheetId="29" state="hidden" r:id="rId9"/>
    <sheet name="Algorithm" sheetId="31" state="hidden" r:id="rId10"/>
  </sheets>
  <definedNames>
    <definedName name="_xlnm._FilterDatabase" localSheetId="5" hidden="1">ADWUT!$A$10:$P$46</definedName>
    <definedName name="_xlnm._FilterDatabase" localSheetId="8" hidden="1">Feedback!$B$1:$F$1</definedName>
    <definedName name="Entry_for_KeyMetric">Lists!$E$28:$E$34</definedName>
    <definedName name="Key_Metric">Lists!$C$28:$C$34</definedName>
    <definedName name="Metric_Unit">Lists!$D$28:$D$34</definedName>
    <definedName name="NO">Lists!$I$20:$I$22</definedName>
    <definedName name="NOT_REQ">Lists!$I$30:$I$31</definedName>
    <definedName name="OTHER">Lists!$I$25:$I$26</definedName>
    <definedName name="_xlnm.Print_Area" localSheetId="0">'About &amp; How to Use'!$A$1:$J$40</definedName>
    <definedName name="_xlnm.Print_Area" localSheetId="3">'Consultant Report'!$A$1:$G$35</definedName>
    <definedName name="_xlnm.Print_Area" localSheetId="1">Summary!$B$1:$H$58</definedName>
    <definedName name="Residential_HighRise_MixedUse">Table1[Other (manual entry)]</definedName>
    <definedName name="RW">Table2[RW]</definedName>
    <definedName name="YES">Lists!$I$15:$I$17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2" i="23" l="1"/>
  <c r="N16" i="19"/>
  <c r="N15" i="19"/>
  <c r="N14" i="19"/>
  <c r="N13" i="19"/>
  <c r="N12" i="19"/>
  <c r="N11" i="19"/>
  <c r="F16" i="30" l="1"/>
  <c r="G16" i="30" s="1"/>
  <c r="I9" i="23" a="1"/>
  <c r="I9" i="23" s="1"/>
  <c r="I10" i="23" a="1"/>
  <c r="I10" i="23" s="1"/>
  <c r="I11" i="23" a="1"/>
  <c r="I11" i="23" s="1"/>
  <c r="I12" i="23" a="1"/>
  <c r="I12" i="23" s="1"/>
  <c r="D28" i="24" a="1"/>
  <c r="D28" i="24" s="1"/>
  <c r="C28" i="24" a="1"/>
  <c r="C28" i="24" s="1"/>
  <c r="B28" i="24" a="1"/>
  <c r="B28" i="24" s="1"/>
  <c r="J18" i="19"/>
  <c r="K18" i="19"/>
  <c r="J19" i="19"/>
  <c r="K19" i="19"/>
  <c r="J20" i="19"/>
  <c r="K20" i="19"/>
  <c r="J21" i="19"/>
  <c r="K21" i="19"/>
  <c r="J22" i="19"/>
  <c r="K22" i="19"/>
  <c r="J23" i="19"/>
  <c r="K23" i="19"/>
  <c r="J24" i="19"/>
  <c r="K24" i="19"/>
  <c r="J25" i="19"/>
  <c r="K25" i="19"/>
  <c r="J26" i="19"/>
  <c r="K26" i="19"/>
  <c r="J27" i="19"/>
  <c r="K27" i="19"/>
  <c r="J28" i="19"/>
  <c r="K28" i="19"/>
  <c r="J29" i="19"/>
  <c r="K29" i="19"/>
  <c r="J30" i="19"/>
  <c r="K30" i="19"/>
  <c r="J31" i="19"/>
  <c r="K31" i="19"/>
  <c r="J32" i="19"/>
  <c r="K32" i="19"/>
  <c r="J33" i="19"/>
  <c r="K33" i="19"/>
  <c r="J34" i="19"/>
  <c r="K34" i="19"/>
  <c r="J35" i="19"/>
  <c r="K35" i="19"/>
  <c r="J36" i="19"/>
  <c r="K36" i="19"/>
  <c r="J37" i="19"/>
  <c r="K37" i="19"/>
  <c r="J38" i="19"/>
  <c r="K38" i="19"/>
  <c r="J39" i="19"/>
  <c r="K39" i="19"/>
  <c r="J40" i="19"/>
  <c r="K40" i="19"/>
  <c r="J41" i="19"/>
  <c r="K41" i="19"/>
  <c r="J42" i="19"/>
  <c r="K42" i="19"/>
  <c r="J43" i="19"/>
  <c r="K43" i="19"/>
  <c r="J44" i="19"/>
  <c r="K44" i="19"/>
  <c r="J45" i="19"/>
  <c r="K45" i="19"/>
  <c r="J46" i="19"/>
  <c r="K46" i="19"/>
  <c r="K17" i="19"/>
  <c r="J17" i="19"/>
  <c r="A9" i="19"/>
  <c r="M18" i="23" l="1"/>
  <c r="K18" i="23"/>
  <c r="L18" i="23"/>
  <c r="K19" i="23"/>
  <c r="L19" i="23"/>
  <c r="K20" i="23"/>
  <c r="L20" i="23"/>
  <c r="K21" i="23"/>
  <c r="L21" i="23"/>
  <c r="C7" i="33"/>
  <c r="C6" i="33"/>
  <c r="C5" i="33"/>
  <c r="D5" i="33" s="1"/>
  <c r="E2" i="33"/>
  <c r="D2" i="33"/>
  <c r="B1" i="30"/>
  <c r="M19" i="23"/>
  <c r="M20" i="23"/>
  <c r="M21" i="23"/>
  <c r="CB172" i="32"/>
  <c r="CB171" i="32"/>
  <c r="CB169" i="32"/>
  <c r="E5" i="33" l="1"/>
  <c r="F16" i="27"/>
  <c r="C11" i="23" l="1"/>
  <c r="O11" i="23"/>
  <c r="C12" i="23"/>
  <c r="O12" i="23"/>
  <c r="G12" i="23" l="1" a="1"/>
  <c r="G12" i="23" s="1"/>
  <c r="K12" i="23" s="1"/>
  <c r="H12" i="23" a="1"/>
  <c r="H12" i="23" s="1"/>
  <c r="G11" i="23" a="1"/>
  <c r="G11" i="23" s="1"/>
  <c r="K11" i="23" s="1"/>
  <c r="H11" i="23" a="1"/>
  <c r="H11" i="23" s="1"/>
  <c r="AB11" i="23"/>
  <c r="P12" i="23"/>
  <c r="P11" i="23"/>
  <c r="L12" i="23" l="1"/>
  <c r="V12" i="23" s="1"/>
  <c r="J12" i="23" a="1"/>
  <c r="J12" i="23" s="1"/>
  <c r="M12" i="23" s="1"/>
  <c r="L11" i="23"/>
  <c r="J11" i="23" a="1"/>
  <c r="J11" i="23" s="1"/>
  <c r="M11" i="23" s="1"/>
  <c r="N12" i="23"/>
  <c r="N11" i="23"/>
  <c r="R12" i="23"/>
  <c r="R11" i="23"/>
  <c r="V11" i="23"/>
  <c r="Q11" i="23"/>
  <c r="Q12" i="23"/>
  <c r="Z12" i="23" l="1"/>
  <c r="T12" i="23"/>
  <c r="W12" i="23"/>
  <c r="T11" i="23"/>
  <c r="W11" i="23"/>
  <c r="U11" i="23"/>
  <c r="AC11" i="23" s="1" a="1"/>
  <c r="AC11" i="23" s="1"/>
  <c r="AD11" i="23" s="1"/>
  <c r="U12" i="23"/>
  <c r="AC12" i="23" s="1" a="1"/>
  <c r="AC12" i="23" s="1"/>
  <c r="AD12" i="23" s="1"/>
  <c r="Z11" i="23"/>
  <c r="AA12" i="23" l="1"/>
  <c r="Y12" i="23"/>
  <c r="Y11" i="23"/>
  <c r="AA11" i="23"/>
  <c r="I50" i="24" l="1" a="1"/>
  <c r="I50" i="24" s="1"/>
  <c r="I49" i="24" a="1"/>
  <c r="I49" i="24" s="1"/>
  <c r="I48" i="24" a="1"/>
  <c r="I48" i="24" s="1"/>
  <c r="I47" i="24" a="1"/>
  <c r="I47" i="24" s="1"/>
  <c r="I46" i="24" a="1"/>
  <c r="I46" i="24" s="1"/>
  <c r="I45" i="24" a="1"/>
  <c r="I45" i="24" s="1"/>
  <c r="I44" i="24" a="1"/>
  <c r="I44" i="24" s="1"/>
  <c r="I43" i="24" a="1"/>
  <c r="I43" i="24" s="1"/>
  <c r="I42" i="24" a="1"/>
  <c r="I42" i="24" s="1"/>
  <c r="I41" i="24" a="1"/>
  <c r="I41" i="24" s="1"/>
  <c r="I40" i="24" a="1"/>
  <c r="I40" i="24" s="1"/>
  <c r="I39" i="24" a="1"/>
  <c r="I39" i="24" s="1"/>
  <c r="I38" i="24" a="1"/>
  <c r="I38" i="24" s="1"/>
  <c r="I37" i="24" a="1"/>
  <c r="I37" i="24" s="1"/>
  <c r="I36" i="24" a="1"/>
  <c r="I36" i="24" s="1"/>
  <c r="I35" i="24" a="1"/>
  <c r="I35" i="24" s="1"/>
  <c r="C5" i="23" l="1"/>
  <c r="C6" i="23"/>
  <c r="C7" i="23"/>
  <c r="C8" i="23"/>
  <c r="C9" i="23"/>
  <c r="C10" i="23"/>
  <c r="O15" i="23"/>
  <c r="O17" i="23"/>
  <c r="I10" i="24" a="1"/>
  <c r="I10" i="24" s="1"/>
  <c r="AB15" i="23" l="1"/>
  <c r="AB17" i="23"/>
  <c r="P17" i="23"/>
  <c r="P15" i="23"/>
  <c r="O10" i="23"/>
  <c r="O6" i="23"/>
  <c r="O7" i="23"/>
  <c r="O8" i="23"/>
  <c r="G8" i="23" s="1" a="1"/>
  <c r="G8" i="23" s="1"/>
  <c r="K8" i="23" s="1"/>
  <c r="O9" i="23"/>
  <c r="O5" i="23"/>
  <c r="AB5" i="23" s="1"/>
  <c r="H16" i="27"/>
  <c r="G16" i="27"/>
  <c r="G10" i="23" l="1" a="1"/>
  <c r="G10" i="23" s="1"/>
  <c r="K10" i="23" s="1"/>
  <c r="H10" i="23" a="1"/>
  <c r="H10" i="23" s="1"/>
  <c r="G9" i="23" a="1"/>
  <c r="G9" i="23" s="1"/>
  <c r="K9" i="23" s="1"/>
  <c r="H9" i="23" a="1"/>
  <c r="H9" i="23" s="1"/>
  <c r="I8" i="23" a="1"/>
  <c r="I8" i="23" s="1"/>
  <c r="H8" i="23" a="1"/>
  <c r="H8" i="23" s="1"/>
  <c r="G7" i="23" a="1"/>
  <c r="G7" i="23" s="1"/>
  <c r="K7" i="23" s="1"/>
  <c r="H7" i="23" a="1"/>
  <c r="H7" i="23" s="1"/>
  <c r="G6" i="23" a="1"/>
  <c r="G6" i="23" s="1"/>
  <c r="K6" i="23" s="1"/>
  <c r="H6" i="23" a="1"/>
  <c r="H6" i="23" s="1"/>
  <c r="AB9" i="23"/>
  <c r="AB10" i="23"/>
  <c r="AB8" i="23"/>
  <c r="AB7" i="23"/>
  <c r="AB6" i="23"/>
  <c r="H5" i="23" a="1"/>
  <c r="H5" i="23" s="1"/>
  <c r="G5" i="23" a="1"/>
  <c r="G5" i="23" s="1"/>
  <c r="P8" i="23"/>
  <c r="P6" i="23"/>
  <c r="P10" i="23"/>
  <c r="P5" i="23"/>
  <c r="P9" i="23"/>
  <c r="P7" i="23"/>
  <c r="U18" i="23"/>
  <c r="Q18" i="23"/>
  <c r="U21" i="23"/>
  <c r="Q21" i="23"/>
  <c r="U20" i="23"/>
  <c r="Q20" i="23"/>
  <c r="Q19" i="23"/>
  <c r="L8" i="23" l="1"/>
  <c r="V8" i="23" s="1"/>
  <c r="J8" i="23" a="1"/>
  <c r="J8" i="23" s="1"/>
  <c r="M8" i="23" s="1"/>
  <c r="L9" i="23"/>
  <c r="V9" i="23" s="1"/>
  <c r="J9" i="23" a="1"/>
  <c r="J9" i="23" s="1"/>
  <c r="M9" i="23" s="1"/>
  <c r="L10" i="23"/>
  <c r="V10" i="23" s="1"/>
  <c r="J10" i="23" a="1"/>
  <c r="J10" i="23" s="1"/>
  <c r="M10" i="23" s="1"/>
  <c r="L6" i="23"/>
  <c r="V6" i="23" s="1"/>
  <c r="L7" i="23"/>
  <c r="V7" i="23" s="1"/>
  <c r="V5" i="23"/>
  <c r="I7" i="23" a="1"/>
  <c r="I7" i="23" s="1"/>
  <c r="J7" i="23" s="1" a="1"/>
  <c r="J7" i="23" s="1"/>
  <c r="N9" i="23"/>
  <c r="AB22" i="23"/>
  <c r="J30" i="30" s="1"/>
  <c r="I6" i="23" a="1"/>
  <c r="I6" i="23" s="1"/>
  <c r="J6" i="23" s="1" a="1"/>
  <c r="J6" i="23" s="1"/>
  <c r="N10" i="23"/>
  <c r="U19" i="23"/>
  <c r="Y19" i="23" s="1"/>
  <c r="Q9" i="23"/>
  <c r="T21" i="23"/>
  <c r="I5" i="23" a="1"/>
  <c r="I5" i="23" s="1"/>
  <c r="J5" i="23" s="1" a="1"/>
  <c r="J5" i="23" s="1"/>
  <c r="Q8" i="23"/>
  <c r="Y21" i="23"/>
  <c r="Q5" i="23"/>
  <c r="R7" i="23"/>
  <c r="Q10" i="23"/>
  <c r="Y18" i="23"/>
  <c r="R9" i="23"/>
  <c r="V18" i="23"/>
  <c r="R18" i="23"/>
  <c r="V19" i="23"/>
  <c r="R19" i="23"/>
  <c r="V20" i="23"/>
  <c r="R20" i="23"/>
  <c r="V21" i="23"/>
  <c r="R21" i="23"/>
  <c r="R8" i="23"/>
  <c r="R6" i="23"/>
  <c r="Q6" i="23"/>
  <c r="R10" i="23"/>
  <c r="Y20" i="23"/>
  <c r="Q7" i="23"/>
  <c r="R5" i="23"/>
  <c r="W21" i="23"/>
  <c r="M7" i="23" l="1"/>
  <c r="W7" i="23" s="1"/>
  <c r="M6" i="23"/>
  <c r="U7" i="23"/>
  <c r="AC7" i="23" s="1" a="1"/>
  <c r="AC7" i="23" s="1"/>
  <c r="AD7" i="23" s="1"/>
  <c r="N7" i="23" s="1"/>
  <c r="U8" i="23"/>
  <c r="Y8" i="23" s="1"/>
  <c r="U9" i="23"/>
  <c r="Y9" i="23" s="1"/>
  <c r="U6" i="23"/>
  <c r="Y6" i="23" s="1"/>
  <c r="U10" i="23"/>
  <c r="AC10" i="23" s="1" a="1"/>
  <c r="AC10" i="23" s="1"/>
  <c r="AD10" i="23" s="1"/>
  <c r="Z7" i="23"/>
  <c r="Z21" i="23"/>
  <c r="AA21" i="23"/>
  <c r="Z20" i="23"/>
  <c r="W10" i="23"/>
  <c r="U5" i="23"/>
  <c r="Y5" i="23" s="1"/>
  <c r="Z6" i="23"/>
  <c r="Z8" i="23"/>
  <c r="T10" i="23"/>
  <c r="W9" i="23"/>
  <c r="T9" i="23"/>
  <c r="T7" i="23"/>
  <c r="Q22" i="23"/>
  <c r="Z10" i="23"/>
  <c r="Z18" i="23"/>
  <c r="W19" i="23"/>
  <c r="T19" i="23"/>
  <c r="W20" i="23"/>
  <c r="T20" i="23"/>
  <c r="V22" i="23"/>
  <c r="W18" i="23"/>
  <c r="T18" i="23"/>
  <c r="W8" i="23"/>
  <c r="T8" i="23"/>
  <c r="Z9" i="23"/>
  <c r="K23" i="23"/>
  <c r="T6" i="23"/>
  <c r="W6" i="23"/>
  <c r="Z19" i="23"/>
  <c r="Z5" i="23"/>
  <c r="R22" i="23"/>
  <c r="L23" i="23"/>
  <c r="D3" i="24" a="1"/>
  <c r="D3" i="24" s="1"/>
  <c r="B2" i="24"/>
  <c r="B3" i="24" a="1"/>
  <c r="B3" i="24" s="1"/>
  <c r="B4" i="23"/>
  <c r="G3" i="24" a="1"/>
  <c r="G3" i="24" s="1"/>
  <c r="G4" i="24" s="1" a="1"/>
  <c r="G4" i="24" s="1"/>
  <c r="F3" i="24" a="1"/>
  <c r="F3" i="24" s="1"/>
  <c r="F4" i="24" s="1" a="1"/>
  <c r="F4" i="24" s="1"/>
  <c r="E3" i="24" a="1"/>
  <c r="E3" i="24" s="1"/>
  <c r="C3" i="24" a="1"/>
  <c r="C3" i="24" s="1"/>
  <c r="C4" i="24" s="1" a="1"/>
  <c r="C4" i="24" s="1"/>
  <c r="W5" i="23" l="1"/>
  <c r="W22" i="23" s="1"/>
  <c r="D4" i="27" a="1"/>
  <c r="D4" i="27" s="1"/>
  <c r="T5" i="23"/>
  <c r="T22" i="23" s="1"/>
  <c r="Y7" i="23"/>
  <c r="AC9" i="23" a="1"/>
  <c r="AC9" i="23" s="1"/>
  <c r="AD9" i="23" s="1"/>
  <c r="AC8" i="23" a="1"/>
  <c r="AC8" i="23" s="1"/>
  <c r="AD8" i="23" s="1"/>
  <c r="N8" i="23" s="1"/>
  <c r="AC6" i="23" a="1"/>
  <c r="AC6" i="23" s="1"/>
  <c r="AD6" i="23" s="1"/>
  <c r="N6" i="23" s="1"/>
  <c r="Y10" i="23"/>
  <c r="AC5" i="23" a="1"/>
  <c r="AC5" i="23" s="1"/>
  <c r="AA10" i="23"/>
  <c r="U22" i="23"/>
  <c r="AA7" i="23"/>
  <c r="AA9" i="23"/>
  <c r="AA6" i="23"/>
  <c r="AA8" i="23"/>
  <c r="Z22" i="23"/>
  <c r="G44" i="30" a="1"/>
  <c r="G44" i="30" s="1"/>
  <c r="AA20" i="23"/>
  <c r="AA18" i="23"/>
  <c r="AA19" i="23"/>
  <c r="D4" i="24" a="1"/>
  <c r="D4" i="24" s="1"/>
  <c r="D5" i="24" s="1" a="1"/>
  <c r="D5" i="24" s="1"/>
  <c r="E4" i="24" a="1"/>
  <c r="E4" i="24" s="1"/>
  <c r="G5" i="24" a="1"/>
  <c r="G5" i="24" s="1"/>
  <c r="F5" i="24" a="1"/>
  <c r="F5" i="24" s="1"/>
  <c r="C5" i="24" a="1"/>
  <c r="C5" i="24" s="1"/>
  <c r="AA5" i="23" l="1"/>
  <c r="AA22" i="23" s="1"/>
  <c r="F44" i="30" a="1"/>
  <c r="F44" i="30" s="1"/>
  <c r="Y22" i="23"/>
  <c r="B25" i="30" s="1"/>
  <c r="B30" i="30"/>
  <c r="K36" i="30" s="1"/>
  <c r="B29" i="30"/>
  <c r="AD5" i="23"/>
  <c r="N5" i="23" s="1"/>
  <c r="H44" i="30" a="1"/>
  <c r="H44" i="30" s="1"/>
  <c r="D6" i="24" a="1"/>
  <c r="D6" i="24" s="1"/>
  <c r="E5" i="24" a="1"/>
  <c r="E5" i="24" s="1"/>
  <c r="G6" i="24" a="1"/>
  <c r="G6" i="24" s="1"/>
  <c r="F6" i="24" a="1"/>
  <c r="F6" i="24" s="1"/>
  <c r="C6" i="24" a="1"/>
  <c r="C6" i="24" s="1"/>
  <c r="H30" i="30" l="1"/>
  <c r="K35" i="30"/>
  <c r="B24" i="30"/>
  <c r="B26" i="30" s="1"/>
  <c r="B34" i="30"/>
  <c r="B35" i="30"/>
  <c r="K37" i="30" s="1"/>
  <c r="D43" i="30"/>
  <c r="C7" i="24" a="1"/>
  <c r="C7" i="24" s="1"/>
  <c r="C8" i="24" s="1" a="1"/>
  <c r="C8" i="24" s="1"/>
  <c r="L22" i="23"/>
  <c r="C16" i="27"/>
  <c r="K22" i="23"/>
  <c r="B16" i="27"/>
  <c r="B31" i="30"/>
  <c r="E6" i="24" a="1"/>
  <c r="E6" i="24" s="1"/>
  <c r="G7" i="24" a="1"/>
  <c r="G7" i="24" s="1"/>
  <c r="F7" i="24" a="1"/>
  <c r="F7" i="24" s="1"/>
  <c r="I30" i="30" l="1"/>
  <c r="C9" i="24" a="1"/>
  <c r="C9" i="24" s="1"/>
  <c r="C10" i="24" s="1" a="1"/>
  <c r="C10" i="24" s="1"/>
  <c r="E7" i="24" a="1"/>
  <c r="E7" i="24" s="1"/>
  <c r="G8" i="24" a="1"/>
  <c r="G8" i="24" s="1"/>
  <c r="G9" i="24" s="1" a="1"/>
  <c r="G9" i="24" s="1"/>
  <c r="G10" i="24" s="1" a="1"/>
  <c r="G10" i="24" s="1"/>
  <c r="F8" i="24" a="1"/>
  <c r="F8" i="24" s="1"/>
  <c r="F9" i="24" s="1" a="1"/>
  <c r="F9" i="24" s="1"/>
  <c r="C11" i="24" l="1" a="1"/>
  <c r="C11" i="24" s="1"/>
  <c r="C12" i="24" s="1" a="1"/>
  <c r="C12" i="24" s="1"/>
  <c r="F10" i="24" a="1"/>
  <c r="F10" i="24" s="1"/>
  <c r="F12" i="24" s="1" a="1"/>
  <c r="F12" i="24" s="1"/>
  <c r="E8" i="24" a="1"/>
  <c r="E8" i="24" s="1"/>
  <c r="G11" i="24" a="1"/>
  <c r="G11" i="24" s="1"/>
  <c r="G12" i="24" s="1" a="1"/>
  <c r="G12" i="24" s="1"/>
  <c r="F11" i="24" l="1" a="1"/>
  <c r="F11" i="24" s="1"/>
  <c r="F13" i="24" s="1" a="1"/>
  <c r="F13" i="24" s="1"/>
  <c r="F14" i="24" s="1" a="1"/>
  <c r="F14" i="24" s="1"/>
  <c r="F15" i="24" s="1" a="1"/>
  <c r="F15" i="24" s="1"/>
  <c r="F16" i="24" s="1" a="1"/>
  <c r="F16" i="24" s="1"/>
  <c r="F17" i="24" s="1" a="1"/>
  <c r="F17" i="24" s="1"/>
  <c r="F18" i="24" s="1" a="1"/>
  <c r="F18" i="24" s="1"/>
  <c r="F19" i="24" s="1" a="1"/>
  <c r="F19" i="24" s="1"/>
  <c r="F20" i="24" s="1" a="1"/>
  <c r="F20" i="24" s="1"/>
  <c r="F21" i="24" s="1" a="1"/>
  <c r="F21" i="24" s="1"/>
  <c r="F22" i="24" s="1" a="1"/>
  <c r="F22" i="24" s="1"/>
  <c r="F23" i="24" s="1" a="1"/>
  <c r="F23" i="24" s="1"/>
  <c r="F24" i="24" s="1" a="1"/>
  <c r="F24" i="24" s="1"/>
  <c r="E9" i="24" a="1"/>
  <c r="E9" i="24" s="1"/>
  <c r="E10" i="24" s="1" a="1"/>
  <c r="E10" i="24" s="1"/>
  <c r="E11" i="24" s="1" a="1"/>
  <c r="E11" i="24" s="1"/>
  <c r="E12" i="24" s="1" a="1"/>
  <c r="E12" i="24" s="1"/>
  <c r="E13" i="24" l="1" a="1"/>
  <c r="E13" i="24" s="1"/>
  <c r="E14" i="24" s="1" a="1"/>
  <c r="E14" i="24" s="1"/>
  <c r="E15" i="24" s="1" a="1"/>
  <c r="E15" i="24" s="1"/>
  <c r="E16" i="24" s="1" a="1"/>
  <c r="E16" i="24" s="1"/>
  <c r="E17" i="24" s="1" a="1"/>
  <c r="E17" i="24" s="1"/>
  <c r="E18" i="24" s="1" a="1"/>
  <c r="E18" i="24" s="1"/>
  <c r="E19" i="24" s="1" a="1"/>
  <c r="E19" i="24" s="1"/>
  <c r="G14" i="24" l="1" a="1"/>
  <c r="G14" i="24" s="1"/>
  <c r="G15" i="24" l="1" a="1"/>
  <c r="G15" i="24" s="1"/>
  <c r="G16" i="24" l="1" a="1"/>
  <c r="G16" i="24" s="1"/>
  <c r="G17" i="24" s="1" a="1"/>
  <c r="G17" i="24" s="1"/>
  <c r="E20" i="24" l="1" a="1"/>
  <c r="E20" i="24" s="1"/>
  <c r="E21" i="24" l="1" a="1"/>
  <c r="E21" i="24" s="1"/>
  <c r="E22" i="24" l="1" a="1"/>
  <c r="E22" i="24" s="1"/>
  <c r="E23" i="24" l="1" a="1"/>
  <c r="E23" i="24" s="1"/>
  <c r="E24" i="24" s="1" a="1"/>
  <c r="E24" i="24" s="1"/>
  <c r="E25" i="24" l="1" a="1"/>
  <c r="E25" i="24" s="1"/>
  <c r="E26" i="24" s="1" a="1"/>
  <c r="E26" i="24" s="1"/>
  <c r="B36" i="30" l="1"/>
  <c r="D16" i="27"/>
  <c r="M23" i="23" l="1"/>
  <c r="D40" i="30" s="1"/>
  <c r="M22" i="23"/>
  <c r="O22" i="23" l="1"/>
  <c r="D39" i="30"/>
  <c r="D41" i="30" s="1" a="1"/>
  <c r="D41"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Mohammad Hassan</author>
  </authors>
  <commentList>
    <comment ref="J30" authorId="0" shapeId="0" xr:uid="{D006F5B1-3033-49F4-8ACF-26199B62C07F}">
      <text>
        <r>
          <rPr>
            <b/>
            <sz val="9"/>
            <color indexed="81"/>
            <rFont val="Tahoma"/>
            <family val="2"/>
          </rPr>
          <t>Mohammad Hassan:</t>
        </r>
        <r>
          <rPr>
            <sz val="9"/>
            <color indexed="81"/>
            <rFont val="Tahoma"/>
            <family val="2"/>
          </rPr>
          <t xml:space="preserve">
If "Bespoke" text appears in this cell, this means that the user has entered a development category that requires bespoke calculation. Users must use bottom section of "Data Input" sheet for the development categories requiring bespoke calculation.</t>
        </r>
      </text>
    </comment>
    <comment ref="B40" authorId="0" shapeId="0" xr:uid="{4EB77A1F-05BA-4357-84E1-D4887FD51108}">
      <text>
        <r>
          <rPr>
            <b/>
            <sz val="9"/>
            <color indexed="81"/>
            <rFont val="Tahoma"/>
            <family val="2"/>
          </rPr>
          <t>Mohammad Hassan:</t>
        </r>
        <r>
          <rPr>
            <sz val="9"/>
            <color indexed="81"/>
            <rFont val="Tahoma"/>
            <family val="2"/>
          </rPr>
          <t xml:space="preserve">
This is activated only when Consultant entry is required, otherwise it's N/A.</t>
        </r>
      </text>
    </comment>
    <comment ref="I44" authorId="0" shapeId="0" xr:uid="{0420F13F-012A-4B52-AC9C-B9779BBFD1F2}">
      <text>
        <r>
          <rPr>
            <b/>
            <sz val="9"/>
            <color indexed="81"/>
            <rFont val="Tahoma"/>
            <family val="2"/>
          </rPr>
          <t>Mohammad Hassan:</t>
        </r>
        <r>
          <rPr>
            <sz val="9"/>
            <color indexed="81"/>
            <rFont val="Tahoma"/>
            <family val="2"/>
          </rPr>
          <t xml:space="preserve">
Rows where both standard values and consultant entries are found in "Data Input" sheet from column G to 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Mohammad Hassan</author>
  </authors>
  <commentList>
    <comment ref="B12" authorId="0" shapeId="0" xr:uid="{14AA70C0-6D39-4FAA-AC08-F790476B3BEE}">
      <text>
        <r>
          <rPr>
            <sz val="10"/>
            <rFont val="Arial"/>
            <family val="2"/>
          </rPr>
          <t>Mohammad Hassan:
Select from the list only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Mohammad Hassan</author>
  </authors>
  <commentList>
    <comment ref="B2" authorId="0" shapeId="0" xr:uid="{04BABDD6-BA46-4107-987C-3E03E3561CBA}">
      <text>
        <r>
          <rPr>
            <b/>
            <sz val="9"/>
            <color indexed="81"/>
            <rFont val="Tahoma"/>
            <family val="2"/>
          </rPr>
          <t>Mohammad Hassan:</t>
        </r>
        <r>
          <rPr>
            <sz val="9"/>
            <color indexed="81"/>
            <rFont val="Tahoma"/>
            <family val="2"/>
          </rPr>
          <t xml:space="preserve">
High Rise missing</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<sst xmlns="http://schemas.openxmlformats.org/spreadsheetml/2006/main" count="807" uniqueCount="337">
  <si>
    <t>Date</t>
  </si>
  <si>
    <t>Case number</t>
  </si>
  <si>
    <t>Development type</t>
  </si>
  <si>
    <t>Residential</t>
  </si>
  <si>
    <t>Development Type</t>
  </si>
  <si>
    <t>Development Sub-Type</t>
  </si>
  <si>
    <t>Key Metric</t>
  </si>
  <si>
    <t>Metric Unit</t>
  </si>
  <si>
    <t>Entry for calculation</t>
  </si>
  <si>
    <t>Source</t>
  </si>
  <si>
    <t>Dwelling</t>
  </si>
  <si>
    <t>Commercial</t>
  </si>
  <si>
    <t>Non-residential</t>
  </si>
  <si>
    <t>Childcare</t>
  </si>
  <si>
    <t>Office</t>
  </si>
  <si>
    <t>Shopping Centre</t>
  </si>
  <si>
    <t>Retail Units</t>
  </si>
  <si>
    <t>Mechanical Repair</t>
  </si>
  <si>
    <t>Club</t>
  </si>
  <si>
    <t>Other</t>
  </si>
  <si>
    <t>Industrial</t>
  </si>
  <si>
    <t>Heavy Process</t>
  </si>
  <si>
    <t>Chemical Manufacturing</t>
  </si>
  <si>
    <t>Printing Manufacturing</t>
  </si>
  <si>
    <t>Beverage Manufacturing</t>
  </si>
  <si>
    <t>Light Factory Unit</t>
  </si>
  <si>
    <t>Warehousing</t>
  </si>
  <si>
    <t>Special_Use</t>
  </si>
  <si>
    <t>University</t>
  </si>
  <si>
    <t>School</t>
  </si>
  <si>
    <t>Hospital</t>
  </si>
  <si>
    <t>Government Depot</t>
  </si>
  <si>
    <t>Sport Fields With Amenities</t>
  </si>
  <si>
    <t>Park &amp; Reserves</t>
  </si>
  <si>
    <t>Issue</t>
  </si>
  <si>
    <t>Date raised</t>
  </si>
  <si>
    <t>By</t>
  </si>
  <si>
    <t>Development Description</t>
  </si>
  <si>
    <t>Consultant Report</t>
  </si>
  <si>
    <t>WW discharge factor</t>
  </si>
  <si>
    <t>Average Daily Water Use tables currently being updated</t>
  </si>
  <si>
    <t>RW</t>
  </si>
  <si>
    <t>PW</t>
  </si>
  <si>
    <t>WW</t>
  </si>
  <si>
    <t>WWdischarge</t>
  </si>
  <si>
    <t>Standard</t>
  </si>
  <si>
    <t>Completed</t>
  </si>
  <si>
    <t>Status</t>
  </si>
  <si>
    <t>Outcome/Action</t>
  </si>
  <si>
    <t>Others</t>
  </si>
  <si>
    <t>Non-res flows identifiable on summary page.</t>
  </si>
  <si>
    <t>WW discharge factors</t>
  </si>
  <si>
    <t>Option to select either 'Standard' or 'Other' WW discharge factors. Standards returns input from 'Average Daily Water Use table'. 'Other' requires input from WSC or consultant and basis of calculation</t>
  </si>
  <si>
    <t>PW&amp;RW breakdown - adopted 2/3 &amp; 1/3 accordingly</t>
  </si>
  <si>
    <t>As discussed with Ruth H &amp; Richard W</t>
  </si>
  <si>
    <t>Ongoing</t>
  </si>
  <si>
    <t>To be updated in the ADW table once completed</t>
  </si>
  <si>
    <t>No - PW only</t>
  </si>
  <si>
    <t>Other PW &amp; RW ratio</t>
  </si>
  <si>
    <t>PW&amp;RW not required</t>
  </si>
  <si>
    <t>WW not required</t>
  </si>
  <si>
    <t>kL residential</t>
  </si>
  <si>
    <t>kL non-residential</t>
  </si>
  <si>
    <t>Nick</t>
  </si>
  <si>
    <t>Add detail in 'About' Residential only, not required to use this tool</t>
  </si>
  <si>
    <t>Option is for all asset streams to have a consultant entry, regardless of whether a standard factor output is achieved. The figure to be used for sum data then should always default to the consultant entry, when there is one.</t>
  </si>
  <si>
    <t>Tool is for capacity assessments and IC charging purposes. Therefor res and non-res figures are provided.</t>
  </si>
  <si>
    <t>Richard &amp; Matt</t>
  </si>
  <si>
    <t>PW res calculation: - (A) Property area / (B) dwellings = (C) Density X factor for kL</t>
  </si>
  <si>
    <t>WW res discharge calculation</t>
  </si>
  <si>
    <t>Standard WW discharge factor</t>
  </si>
  <si>
    <t>Confirmed 95% as per the latest WUDF is applicable across the board (industrial/commercial). Other factor requires consultant entry.</t>
  </si>
  <si>
    <t>Done</t>
  </si>
  <si>
    <t>Hassan (Nick support)</t>
  </si>
  <si>
    <t>Single dwelling</t>
  </si>
  <si>
    <t>Town House (&lt;30 units/net ha)</t>
  </si>
  <si>
    <t>Multi-unit (30-60 units/net ha)</t>
  </si>
  <si>
    <t>Multi-unit (61-100 units/net ha)</t>
  </si>
  <si>
    <t>Multi-unit (101-140 units/net ha)</t>
  </si>
  <si>
    <t>Multi-unit (&gt;140 units/net ha)</t>
  </si>
  <si>
    <t>Water System Planning Guideline V1 Sep2014</t>
  </si>
  <si>
    <t>Water System Planning Guideline V1 Sep2015</t>
  </si>
  <si>
    <t>Water System Planning Guideline V1 Sep2016</t>
  </si>
  <si>
    <t>Water System Planning Guideline V1 Sep2017</t>
  </si>
  <si>
    <t>Water System Planning Guideline V1 Sep2018</t>
  </si>
  <si>
    <t>Water System Planning Guideline V1 Sep2019</t>
  </si>
  <si>
    <t>Dual - RW
(L / Metric Unit / Day)</t>
  </si>
  <si>
    <t>ADWU table updated to include</t>
  </si>
  <si>
    <t>Richard W confirmed as per Sydney wide average.</t>
  </si>
  <si>
    <t>Standard WW discharge factor with dual water?</t>
  </si>
  <si>
    <t>Standard factor outputs</t>
  </si>
  <si>
    <t>Development TYPE</t>
  </si>
  <si>
    <t>Calculation Methodology</t>
  </si>
  <si>
    <t>Code</t>
  </si>
  <si>
    <t>Standards</t>
  </si>
  <si>
    <t>Technical Guides</t>
  </si>
  <si>
    <t>Hydraulic Report</t>
  </si>
  <si>
    <t>Other evidence</t>
  </si>
  <si>
    <t>Number of Consultant entries in 'Data Input' sheet:</t>
  </si>
  <si>
    <t>Number of entries --&gt;</t>
  </si>
  <si>
    <t>Non-Residential</t>
  </si>
  <si>
    <t>D5</t>
  </si>
  <si>
    <t>Consultant entry required</t>
  </si>
  <si>
    <t>PW not required</t>
  </si>
  <si>
    <t>IF</t>
  </si>
  <si>
    <t>Nested-IF</t>
  </si>
  <si>
    <t>POTABLE WATER</t>
  </si>
  <si>
    <t>RECYCLED WATER</t>
  </si>
  <si>
    <t>Consultant</t>
  </si>
  <si>
    <t>Res or Non-res or Special</t>
  </si>
  <si>
    <t>WUDF</t>
  </si>
  <si>
    <t>Hassan</t>
  </si>
  <si>
    <t>Repair Nick's formula in Data Input sheet to accommodate Special categories that require consultant entry</t>
  </si>
  <si>
    <t>Dual - PW
(L / Metric Unit / Day)</t>
  </si>
  <si>
    <t>Average PW Demand x
(L / Metric Unit / Day)</t>
  </si>
  <si>
    <t>AVERAGE DAILY WATER USAGE (ADWU) OF DIFFERENT PROPERTY TYPE</t>
  </si>
  <si>
    <t>Consultant Report entries completed notifier (Summary sheet)</t>
  </si>
  <si>
    <t>What is the standard WW discharge when dual water?
Richard: Same WUDF will be applied to (PW+RW).</t>
  </si>
  <si>
    <t>Consultant Report sheet needs a form for consultants to make entry to demonstrate evidence and they need to select if they have attached the evidence in eDeveloper (Yes/No only).</t>
  </si>
  <si>
    <t>Summary sheet needs to have an entry for the tallest building</t>
  </si>
  <si>
    <t>Enter number of beds:</t>
  </si>
  <si>
    <t>Enter number of rooms:</t>
  </si>
  <si>
    <t>Enter number of students:</t>
  </si>
  <si>
    <t>kL total PW</t>
  </si>
  <si>
    <t>kL total RW</t>
  </si>
  <si>
    <t>kL total WW</t>
  </si>
  <si>
    <r>
      <rPr>
        <b/>
        <sz val="10"/>
        <rFont val="Arial"/>
        <family val="2"/>
      </rPr>
      <t>RESPONSES:</t>
    </r>
    <r>
      <rPr>
        <sz val="10"/>
        <rFont val="Arial"/>
        <family val="2"/>
      </rPr>
      <t xml:space="preserve">
1.	J column WUDF - YES
2.	N column’s formula reference should be K, not J - YES
3.	Does J column need the text for “Consultant Entry”? Because there is no option (column) for Discharge factor entry! - NO, PUT N/A.
4.	L, M, N will replace the values of H, I &amp; K, is that right? There is no further manipulation required on L, M &amp; N. - YES, YOU'RE RIGHT.
5. What is required in column D when the Input type (column C) is "Calculate method required"? - NOTHING, the cell remains blank.</t>
    </r>
  </si>
  <si>
    <r>
      <rPr>
        <b/>
        <sz val="10"/>
        <rFont val="Arial"/>
        <family val="2"/>
      </rPr>
      <t>Handover questions:</t>
    </r>
    <r>
      <rPr>
        <sz val="10"/>
        <rFont val="Arial"/>
        <family val="2"/>
      </rPr>
      <t xml:space="preserve">
1.	J column WUDF
2.	N column’s formula reference should be K, not J
3.	Does J column need the text for “Consultant Entry”? Because there is no option (column) for Discharge factor entry! 
4.	L, M, N will replace the values of H, I &amp; K, is that right? There is no further manipulation required on L, M &amp; N.
5. What is required in column D when the Input type (column C) is "Calculate method required"?
6. Can I replace non-residential category of "As required"  </t>
    </r>
  </si>
  <si>
    <t>Number of entries required --&gt;</t>
  </si>
  <si>
    <r>
      <t xml:space="preserve">These values are guide only, please check if the </t>
    </r>
    <r>
      <rPr>
        <b/>
        <i/>
        <sz val="10"/>
        <color theme="5" tint="-0.499984740745262"/>
        <rFont val="Arial"/>
        <family val="2"/>
      </rPr>
      <t>Consultant Report</t>
    </r>
    <r>
      <rPr>
        <sz val="10"/>
        <color theme="5" tint="-0.499984740745262"/>
        <rFont val="Arial"/>
        <family val="2"/>
      </rPr>
      <t xml:space="preserve"> sheet and </t>
    </r>
    <r>
      <rPr>
        <b/>
        <i/>
        <sz val="10"/>
        <color theme="5" tint="-0.499984740745262"/>
        <rFont val="Arial"/>
        <family val="2"/>
      </rPr>
      <t xml:space="preserve">Data Input </t>
    </r>
    <r>
      <rPr>
        <sz val="10"/>
        <color theme="5" tint="-0.499984740745262"/>
        <rFont val="Arial"/>
        <family val="2"/>
      </rPr>
      <t>sheet are both completed without relying on the formula.</t>
    </r>
  </si>
  <si>
    <t>DONE</t>
  </si>
  <si>
    <t>Drafted for review</t>
  </si>
  <si>
    <t>Consultant (manual) entry</t>
  </si>
  <si>
    <t>Development data entry</t>
  </si>
  <si>
    <t>TIMES (X)</t>
  </si>
  <si>
    <t>E5</t>
  </si>
  <si>
    <t>E6</t>
  </si>
  <si>
    <t>E7</t>
  </si>
  <si>
    <t>E8</t>
  </si>
  <si>
    <t>E9</t>
  </si>
  <si>
    <t>E10</t>
  </si>
  <si>
    <t>E11</t>
  </si>
  <si>
    <t>E12</t>
  </si>
  <si>
    <t>E13</t>
  </si>
  <si>
    <t>E14</t>
  </si>
  <si>
    <t>E15</t>
  </si>
  <si>
    <t>E16</t>
  </si>
  <si>
    <t>E17</t>
  </si>
  <si>
    <t>E18</t>
  </si>
  <si>
    <t>E19</t>
  </si>
  <si>
    <t>E20</t>
  </si>
  <si>
    <t>Cell_Ref</t>
  </si>
  <si>
    <t>RW_REF</t>
  </si>
  <si>
    <t>YES</t>
  </si>
  <si>
    <t>NO</t>
  </si>
  <si>
    <t>OTHER</t>
  </si>
  <si>
    <t>NOT_REQ</t>
  </si>
  <si>
    <t>TABLE CALL OUT</t>
  </si>
  <si>
    <t>Testing:</t>
  </si>
  <si>
    <t>These are tables used for G column in "Data Input" sheet. 
Do NOT change!</t>
  </si>
  <si>
    <t>Instruction on Input type for Column D</t>
  </si>
  <si>
    <t>SYDNEY WATER USE ONLY</t>
  </si>
  <si>
    <t>Non-res special</t>
  </si>
  <si>
    <t>SHORT</t>
  </si>
  <si>
    <r>
      <rPr>
        <b/>
        <sz val="10"/>
        <color theme="1" tint="0.499984740745262"/>
        <rFont val="Symbol"/>
        <family val="1"/>
        <charset val="2"/>
      </rPr>
      <t>¬</t>
    </r>
    <r>
      <rPr>
        <b/>
        <sz val="10"/>
        <color theme="1" tint="0.499984740745262"/>
        <rFont val="Arial"/>
        <family val="2"/>
      </rPr>
      <t xml:space="preserve"> Rows</t>
    </r>
  </si>
  <si>
    <t>Consultant entry required (Yes/No):</t>
  </si>
  <si>
    <t>Data Input sheet completed (Yes/No):</t>
  </si>
  <si>
    <t>Consultant report completed (Yes/No):</t>
  </si>
  <si>
    <r>
      <t xml:space="preserve">Click </t>
    </r>
    <r>
      <rPr>
        <b/>
        <u/>
        <sz val="10"/>
        <color rgb="FF0070C0"/>
        <rFont val="Arial"/>
        <family val="2"/>
      </rPr>
      <t>here</t>
    </r>
    <r>
      <rPr>
        <sz val="10"/>
        <color rgb="FF0070C0"/>
        <rFont val="Arial"/>
        <family val="2"/>
      </rPr>
      <t xml:space="preserve"> to review how to complete the document</t>
    </r>
  </si>
  <si>
    <t>&lt;-- Max</t>
  </si>
  <si>
    <t>Dual - PW
(L / Metric Unit / Day) [ADWUT:9]</t>
  </si>
  <si>
    <t>Average PW Demand (L / Metric Unit / Day) [ADWUT:4]</t>
  </si>
  <si>
    <t>Dual - PW
(L / Metric Unit / Day) [ADWUT:10]</t>
  </si>
  <si>
    <t>Dual - RW
(L / Metric Unit / Day) [ADWUT:10]</t>
  </si>
  <si>
    <t>Other PW only</t>
  </si>
  <si>
    <r>
      <t xml:space="preserve">Will this be serviced with Sydney Water </t>
    </r>
    <r>
      <rPr>
        <b/>
        <sz val="10"/>
        <color rgb="FF7030A0"/>
        <rFont val="Arial"/>
        <family val="2"/>
      </rPr>
      <t>Recycled Water (RW)</t>
    </r>
    <r>
      <rPr>
        <sz val="10"/>
        <color rgb="FF7030A0"/>
        <rFont val="Arial"/>
        <family val="2"/>
      </rPr>
      <t>?</t>
    </r>
  </si>
  <si>
    <r>
      <rPr>
        <b/>
        <sz val="10"/>
        <color theme="5" tint="-0.499984740745262"/>
        <rFont val="Arial"/>
        <family val="2"/>
      </rPr>
      <t>Wastewater</t>
    </r>
    <r>
      <rPr>
        <sz val="10"/>
        <color theme="5" tint="-0.499984740745262"/>
        <rFont val="Arial"/>
        <family val="2"/>
      </rPr>
      <t xml:space="preserve"> discharge factor category</t>
    </r>
  </si>
  <si>
    <t>The purpose of this tool is to simplify, standardise and serve as a record of the proposed development's hydraulic demands as used for purposes noted above.</t>
  </si>
  <si>
    <t>You must attach these documents in eDeveloper.</t>
  </si>
  <si>
    <t>This sheet must be used when standard PW, WW &amp; RW factors are not available or appropriate as per the 'Data Input' sheet.</t>
  </si>
  <si>
    <t>Yes - PW&amp;RW (Std value)</t>
  </si>
  <si>
    <t>No - PW only (Std value)</t>
  </si>
  <si>
    <t>Duplicate Finder</t>
  </si>
  <si>
    <t>L/day</t>
  </si>
  <si>
    <t>Expected value VS Consultant entry</t>
  </si>
  <si>
    <t>Std PW</t>
  </si>
  <si>
    <t>Manual 
[PW=RW]</t>
  </si>
  <si>
    <t>Other (manual entry)</t>
  </si>
  <si>
    <t>NOT USED</t>
  </si>
  <si>
    <t>PW + RW</t>
  </si>
  <si>
    <t>kL/day</t>
  </si>
  <si>
    <t>Entered</t>
  </si>
  <si>
    <t>Demand</t>
  </si>
  <si>
    <r>
      <t xml:space="preserve">Average </t>
    </r>
    <r>
      <rPr>
        <b/>
        <sz val="10"/>
        <color rgb="FF0070C0"/>
        <rFont val="Arial"/>
        <family val="2"/>
      </rPr>
      <t>potable water</t>
    </r>
    <r>
      <rPr>
        <b/>
        <sz val="10"/>
        <rFont val="Arial"/>
        <family val="2"/>
      </rPr>
      <t xml:space="preserve"> </t>
    </r>
    <r>
      <rPr>
        <sz val="10"/>
        <rFont val="Arial"/>
        <family val="2"/>
      </rPr>
      <t>demand kL/day):</t>
    </r>
  </si>
  <si>
    <r>
      <t xml:space="preserve">Average </t>
    </r>
    <r>
      <rPr>
        <b/>
        <sz val="10"/>
        <color rgb="FF7030A0"/>
        <rFont val="Arial"/>
        <family val="2"/>
      </rPr>
      <t>recycled water</t>
    </r>
    <r>
      <rPr>
        <sz val="10"/>
        <rFont val="Arial"/>
        <family val="2"/>
      </rPr>
      <t xml:space="preserve"> demand (kL/day):</t>
    </r>
  </si>
  <si>
    <t>Contribution purpose:</t>
  </si>
  <si>
    <r>
      <t xml:space="preserve">Average </t>
    </r>
    <r>
      <rPr>
        <b/>
        <sz val="10"/>
        <color theme="7" tint="-0.499984740745262"/>
        <rFont val="Arial"/>
        <family val="2"/>
      </rPr>
      <t>wastewater</t>
    </r>
    <r>
      <rPr>
        <sz val="10"/>
        <rFont val="Arial"/>
        <family val="2"/>
      </rPr>
      <t xml:space="preserve"> discharge (kL/day):</t>
    </r>
  </si>
  <si>
    <t>Average PW demand
kL/day</t>
  </si>
  <si>
    <t>Average RW demand
kL/day</t>
  </si>
  <si>
    <t>Average WW discharge
kL/day</t>
  </si>
  <si>
    <t>Average WW demand
kL/day</t>
  </si>
  <si>
    <t>Entry required</t>
  </si>
  <si>
    <t>Compare consultant entry</t>
  </si>
  <si>
    <t>This tool must be used for all non-residential developments and mixed developments. Use of this tool for residential only developments is encouraged and is therefore, optional.</t>
  </si>
  <si>
    <t>This tool contains the following sheets for specific purposes as outlined below:</t>
  </si>
  <si>
    <t>This tool uses specific colours for different purpose.</t>
  </si>
  <si>
    <t>Only yellow cells need manual data entry through out this tool.</t>
  </si>
  <si>
    <t>with Std total PW 
(Guide only)</t>
  </si>
  <si>
    <t>Development Sub-type (new)
eg. Data centre</t>
  </si>
  <si>
    <t>Select one option</t>
  </si>
  <si>
    <t>Entry required
(RW)</t>
  </si>
  <si>
    <t>Entry required
(WW)</t>
  </si>
  <si>
    <t>Standard value
PW</t>
  </si>
  <si>
    <t>Standard value
RW</t>
  </si>
  <si>
    <t>Standard value
WW</t>
  </si>
  <si>
    <t>Wastewater Usage Discharge Factor</t>
  </si>
  <si>
    <t>Default 
WUDF</t>
  </si>
  <si>
    <t>Entry required
(PW)</t>
  </si>
  <si>
    <t>Select Calculation Basis</t>
  </si>
  <si>
    <t>Enter Title/ Section/ Page</t>
  </si>
  <si>
    <t>Enter Author/ Consultant name</t>
  </si>
  <si>
    <t>Enter Qualification</t>
  </si>
  <si>
    <t>Enter Date of report</t>
  </si>
  <si>
    <t>Attached in eDeveloper?
(Select Yes/No)</t>
  </si>
  <si>
    <r>
      <rPr>
        <sz val="10"/>
        <color rgb="FF0070C0"/>
        <rFont val="Arial"/>
        <family val="2"/>
      </rPr>
      <t>Blue text</t>
    </r>
    <r>
      <rPr>
        <sz val="10"/>
        <rFont val="Arial"/>
        <family val="2"/>
      </rPr>
      <t xml:space="preserve"> indicates potable water
</t>
    </r>
    <r>
      <rPr>
        <sz val="10"/>
        <color rgb="FF7030A0"/>
        <rFont val="Arial"/>
        <family val="2"/>
      </rPr>
      <t>Purple text</t>
    </r>
    <r>
      <rPr>
        <sz val="10"/>
        <rFont val="Arial"/>
        <family val="2"/>
      </rPr>
      <t xml:space="preserve"> indicates recycled water
</t>
    </r>
    <r>
      <rPr>
        <sz val="10"/>
        <color theme="5" tint="-0.499984740745262"/>
        <rFont val="Arial"/>
        <family val="2"/>
      </rPr>
      <t>Brown text</t>
    </r>
    <r>
      <rPr>
        <sz val="10"/>
        <rFont val="Arial"/>
        <family val="2"/>
      </rPr>
      <t xml:space="preserve"> indicates wastewater</t>
    </r>
  </si>
  <si>
    <t>a</t>
  </si>
  <si>
    <t>b</t>
  </si>
  <si>
    <t>How to use the 'Flow Submission' tool</t>
  </si>
  <si>
    <t>About the 'Flow Submission' tool</t>
  </si>
  <si>
    <t>Enter calculation basis in the table below for the consultant entries.</t>
  </si>
  <si>
    <t>REFERENCE TABLE - Manual data entry by Hydraulic Consultants (or WSCs)</t>
  </si>
  <si>
    <t>Warehouse</t>
  </si>
  <si>
    <t>Road</t>
  </si>
  <si>
    <t>Swimming pool</t>
  </si>
  <si>
    <t>2000 students</t>
  </si>
  <si>
    <t>200 beds</t>
  </si>
  <si>
    <r>
      <rPr>
        <b/>
        <sz val="10"/>
        <rFont val="Arial"/>
        <family val="2"/>
      </rPr>
      <t>300</t>
    </r>
    <r>
      <rPr>
        <sz val="10"/>
        <rFont val="Arial"/>
        <family val="2"/>
      </rPr>
      <t xml:space="preserve"> beds</t>
    </r>
  </si>
  <si>
    <t>Existing state</t>
  </si>
  <si>
    <t>Future state</t>
  </si>
  <si>
    <t>Vacant</t>
  </si>
  <si>
    <t>Flow Submission Tool entry</t>
  </si>
  <si>
    <t>­</t>
  </si>
  <si>
    <t>50 beds</t>
  </si>
  <si>
    <t>Emergency Dept</t>
  </si>
  <si>
    <t>Duplicate scenario for demonstration only</t>
  </si>
  <si>
    <t>Existing</t>
  </si>
  <si>
    <t>Number of Students:</t>
  </si>
  <si>
    <t>Additional</t>
  </si>
  <si>
    <t>Future</t>
  </si>
  <si>
    <r>
      <t xml:space="preserve">Avg daily </t>
    </r>
    <r>
      <rPr>
        <b/>
        <sz val="10"/>
        <rFont val="Arial"/>
        <family val="2"/>
      </rPr>
      <t>drinking water</t>
    </r>
    <r>
      <rPr>
        <sz val="10"/>
        <rFont val="Arial"/>
        <family val="2"/>
      </rPr>
      <t xml:space="preserve"> demand:</t>
    </r>
  </si>
  <si>
    <r>
      <t xml:space="preserve">Avg daily </t>
    </r>
    <r>
      <rPr>
        <b/>
        <sz val="10"/>
        <rFont val="Arial"/>
        <family val="2"/>
      </rPr>
      <t>wastewater</t>
    </r>
    <r>
      <rPr>
        <sz val="10"/>
        <rFont val="Arial"/>
        <family val="2"/>
      </rPr>
      <t xml:space="preserve"> discharge:</t>
    </r>
  </si>
  <si>
    <r>
      <rPr>
        <b/>
        <sz val="10"/>
        <rFont val="Arial"/>
        <family val="2"/>
      </rPr>
      <t>Concept of Additional Demand sheet:</t>
    </r>
    <r>
      <rPr>
        <sz val="10"/>
        <rFont val="Arial"/>
        <family val="2"/>
      </rPr>
      <t xml:space="preserve">
This sheet gives examples of the type of information expected in this tool.</t>
    </r>
  </si>
  <si>
    <r>
      <rPr>
        <b/>
        <sz val="10"/>
        <color theme="5" tint="-0.499984740745262"/>
        <rFont val="Arial"/>
        <family val="2"/>
      </rPr>
      <t>Wastewater</t>
    </r>
    <r>
      <rPr>
        <sz val="10"/>
        <color theme="5" tint="-0.499984740745262"/>
        <rFont val="Arial"/>
        <family val="2"/>
      </rPr>
      <t xml:space="preserve"> discharge factor (eg. 85%, 90%, etc.)</t>
    </r>
  </si>
  <si>
    <r>
      <t>If your application involves a knock-down and rebuild, you need to provide the total flow rate; otherwise, for modifications, alterations, or extensions to an existing property, only the additional flow rate is required. Check some examples in '</t>
    </r>
    <r>
      <rPr>
        <b/>
        <i/>
        <sz val="10"/>
        <rFont val="Arial"/>
        <family val="2"/>
      </rPr>
      <t>Concept of Additional Demand</t>
    </r>
    <r>
      <rPr>
        <sz val="10"/>
        <rFont val="Arial"/>
        <family val="2"/>
      </rPr>
      <t>' sheet.</t>
    </r>
  </si>
  <si>
    <t>Shed</t>
  </si>
  <si>
    <t>Alteration of a public school to add a 50kL swimming pool</t>
  </si>
  <si>
    <t>Alteration of the existing hospital to add an</t>
  </si>
  <si>
    <t>emergency department with 50 bed capacity</t>
  </si>
  <si>
    <t>Sydney Water uses (average daily) hydraulic demand information to (1) undertake network capacity assessments, and (2) determine applicable 'Infrastructure Contributions', for the development.</t>
  </si>
  <si>
    <t>If flow rates and/or discharge factors for a development site do not use any of the standard rates or factors, the applicant must justify it in the 'Consultant Report' sheet.</t>
  </si>
  <si>
    <t>c</t>
  </si>
  <si>
    <t>d</t>
  </si>
  <si>
    <r>
      <rPr>
        <b/>
        <sz val="10"/>
        <rFont val="Arial"/>
        <family val="2"/>
      </rPr>
      <t>Consultant Report sheet:</t>
    </r>
    <r>
      <rPr>
        <sz val="10"/>
        <rFont val="Arial"/>
        <family val="2"/>
      </rPr>
      <t xml:space="preserve">
   i) This sheet must be filled out by the WSC/developer, if non-standard entries of hydraulic flow rates are made in 'Data Input' sheet.
   ii) WSC/developers must use the 'Consultant Report' for calculating </t>
    </r>
    <r>
      <rPr>
        <b/>
        <i/>
        <sz val="10"/>
        <rFont val="Arial"/>
        <family val="2"/>
      </rPr>
      <t>non-standard flow rates</t>
    </r>
    <r>
      <rPr>
        <sz val="10"/>
        <rFont val="Arial"/>
        <family val="2"/>
      </rPr>
      <t xml:space="preserve"> and provide screenshots of important methodologies, relevant evidence, report pages, etc. on the empty cells below the evidence table. 
   iii) The evidences recorded on this sheet must be uploaded in eDeveloper.</t>
    </r>
  </si>
  <si>
    <r>
      <rPr>
        <sz val="10"/>
        <color rgb="FF000000"/>
        <rFont val="Arial"/>
        <family val="2"/>
      </rPr>
      <t xml:space="preserve">Proposed </t>
    </r>
    <r>
      <rPr>
        <b/>
        <sz val="10"/>
        <color rgb="FF000000"/>
        <rFont val="Arial"/>
        <family val="2"/>
      </rPr>
      <t xml:space="preserve">average daily </t>
    </r>
    <r>
      <rPr>
        <b/>
        <sz val="10"/>
        <color rgb="FF0070C0"/>
        <rFont val="Arial"/>
        <family val="2"/>
      </rPr>
      <t>potable water</t>
    </r>
    <r>
      <rPr>
        <b/>
        <sz val="10"/>
        <color rgb="FF000000"/>
        <rFont val="Arial"/>
        <family val="2"/>
      </rPr>
      <t xml:space="preserve"> use</t>
    </r>
  </si>
  <si>
    <r>
      <rPr>
        <sz val="10"/>
        <color rgb="FF000000"/>
        <rFont val="Arial"/>
        <family val="2"/>
      </rPr>
      <t xml:space="preserve">Proposed </t>
    </r>
    <r>
      <rPr>
        <b/>
        <sz val="10"/>
        <color rgb="FF000000"/>
        <rFont val="Arial"/>
        <family val="2"/>
      </rPr>
      <t xml:space="preserve">average daily </t>
    </r>
    <r>
      <rPr>
        <b/>
        <sz val="10"/>
        <color rgb="FF7030A0"/>
        <rFont val="Arial"/>
        <family val="2"/>
      </rPr>
      <t>recycled water</t>
    </r>
    <r>
      <rPr>
        <b/>
        <sz val="10"/>
        <color rgb="FF000000"/>
        <rFont val="Arial"/>
        <family val="2"/>
      </rPr>
      <t xml:space="preserve"> use</t>
    </r>
  </si>
  <si>
    <r>
      <rPr>
        <sz val="10"/>
        <color rgb="FF000000"/>
        <rFont val="Arial"/>
        <family val="2"/>
      </rPr>
      <t xml:space="preserve">Proposed </t>
    </r>
    <r>
      <rPr>
        <b/>
        <sz val="10"/>
        <color rgb="FF000000"/>
        <rFont val="Arial"/>
        <family val="2"/>
      </rPr>
      <t xml:space="preserve">average daily </t>
    </r>
    <r>
      <rPr>
        <b/>
        <sz val="10"/>
        <color rgb="FF806000"/>
        <rFont val="Arial"/>
        <family val="2"/>
      </rPr>
      <t>wastewater</t>
    </r>
    <r>
      <rPr>
        <b/>
        <sz val="10"/>
        <color rgb="FF000000"/>
        <rFont val="Arial"/>
        <family val="2"/>
      </rPr>
      <t xml:space="preserve"> discharge</t>
    </r>
  </si>
  <si>
    <t>Proposed non-residential flow rates for Infrastructure</t>
  </si>
  <si>
    <t>ROW#</t>
  </si>
  <si>
    <t>Each bed</t>
  </si>
  <si>
    <t>Each room</t>
  </si>
  <si>
    <t>Each student</t>
  </si>
  <si>
    <t>Enter key metric value</t>
  </si>
  <si>
    <t>Alteration of an existing hospital to increase the capacity to 300 beds</t>
  </si>
  <si>
    <t>Entry required 
(RW)</t>
  </si>
  <si>
    <t>Calculated WW 
(No entry required)</t>
  </si>
  <si>
    <t>Duplicate entries found (standard &amp; manual)?</t>
  </si>
  <si>
    <t>Aged accommodation - full care</t>
  </si>
  <si>
    <t>Aged accommodation - self care</t>
  </si>
  <si>
    <t>Hotel, motel, serviced apartments</t>
  </si>
  <si>
    <t>Laundry, dry cleaner</t>
  </si>
  <si>
    <t>Café, fast food, butcher, deli</t>
  </si>
  <si>
    <t>Medical, veterinary</t>
  </si>
  <si>
    <t>Car, Boat Sales</t>
  </si>
  <si>
    <t>Transport, Bus Depot</t>
  </si>
  <si>
    <t>Community Centre, Library</t>
  </si>
  <si>
    <t>Carwash</t>
  </si>
  <si>
    <t>Religious assemblies</t>
  </si>
  <si>
    <t>Services: police, ambulance, etc.</t>
  </si>
  <si>
    <t>Bespoke calculation required</t>
  </si>
  <si>
    <t>Building footprint</t>
  </si>
  <si>
    <t>Square metre</t>
  </si>
  <si>
    <t>Number of beds</t>
  </si>
  <si>
    <t>Number of rooms</t>
  </si>
  <si>
    <t>Number of students</t>
  </si>
  <si>
    <t>NOTE: Total 36 categories that include 6 Residential sub-types &amp; 9 Bespoke types and 21 other non-residential sub-types</t>
  </si>
  <si>
    <t>Planning consultant</t>
  </si>
  <si>
    <t>Optional Entry</t>
  </si>
  <si>
    <t>Demolition of an existing warehouse and construct a hospital with 300 beds</t>
  </si>
  <si>
    <t>Define Key metric &amp; its unit
[eg. sqm, number of beds, etc.]</t>
  </si>
  <si>
    <t>Each dwelling</t>
  </si>
  <si>
    <t>Enter number of dwellings (for this application only):</t>
  </si>
  <si>
    <t>[number of dwellings in all stages]</t>
  </si>
  <si>
    <r>
      <t xml:space="preserve">Use above value to determine the development </t>
    </r>
    <r>
      <rPr>
        <b/>
        <sz val="8"/>
        <color rgb="FF0070C0"/>
        <rFont val="Calibri"/>
        <family val="2"/>
      </rPr>
      <t>sub-type</t>
    </r>
    <r>
      <rPr>
        <sz val="8"/>
        <color rgb="FF0070C0"/>
        <rFont val="Calibri"/>
        <family val="2"/>
      </rPr>
      <t xml:space="preserve"> 
in the "Data Input" sheet for residential development types.</t>
    </r>
  </si>
  <si>
    <t>Sydney Water use only</t>
  </si>
  <si>
    <t>Status of requirements:</t>
  </si>
  <si>
    <r>
      <t xml:space="preserve">Instruction on </t>
    </r>
    <r>
      <rPr>
        <b/>
        <sz val="10"/>
        <rFont val="Arial"/>
        <family val="2"/>
      </rPr>
      <t>Key Metrics</t>
    </r>
  </si>
  <si>
    <t>Enter Key Metric value</t>
  </si>
  <si>
    <t>Values as instructed in Column C</t>
  </si>
  <si>
    <r>
      <t xml:space="preserve">This tool captures water demand data from the hydraulic consultant when the standard flow rates from </t>
    </r>
    <r>
      <rPr>
        <u/>
        <sz val="10"/>
        <color rgb="FF0070C0"/>
        <rFont val="Arial"/>
        <family val="2"/>
      </rPr>
      <t>'Non-residential Average Daily Water Use' guide</t>
    </r>
    <r>
      <rPr>
        <sz val="10"/>
        <rFont val="Arial"/>
        <family val="2"/>
      </rPr>
      <t xml:space="preserve"> is not available for the specific category of the development e.g. data centre, sporting fields irrigation etc.</t>
    </r>
  </si>
  <si>
    <t>Development type and sub-type with key metric</t>
  </si>
  <si>
    <r>
      <t xml:space="preserve">Select one </t>
    </r>
    <r>
      <rPr>
        <b/>
        <sz val="10"/>
        <rFont val="Arial"/>
        <family val="2"/>
      </rPr>
      <t>servicing</t>
    </r>
    <r>
      <rPr>
        <sz val="10"/>
        <rFont val="Arial"/>
        <family val="2"/>
      </rPr>
      <t xml:space="preserve"> option
[</t>
    </r>
    <r>
      <rPr>
        <b/>
        <sz val="10"/>
        <color rgb="FF0070C0"/>
        <rFont val="Arial"/>
        <family val="2"/>
      </rPr>
      <t>PW</t>
    </r>
    <r>
      <rPr>
        <sz val="10"/>
        <rFont val="Arial"/>
        <family val="2"/>
      </rPr>
      <t xml:space="preserve"> and/or </t>
    </r>
    <r>
      <rPr>
        <b/>
        <sz val="10"/>
        <color rgb="FF7030A0"/>
        <rFont val="Arial"/>
        <family val="2"/>
      </rPr>
      <t>RW</t>
    </r>
    <r>
      <rPr>
        <sz val="10"/>
        <rFont val="Arial"/>
        <family val="2"/>
      </rPr>
      <t>]</t>
    </r>
  </si>
  <si>
    <r>
      <rPr>
        <sz val="10"/>
        <rFont val="Arial"/>
        <family val="2"/>
      </rPr>
      <t xml:space="preserve">Will this be serviced with Sydney Water's </t>
    </r>
    <r>
      <rPr>
        <b/>
        <sz val="10"/>
        <color rgb="FF7030A0"/>
        <rFont val="Arial"/>
        <family val="2"/>
      </rPr>
      <t>Recycled Water (RW)</t>
    </r>
    <r>
      <rPr>
        <sz val="10"/>
        <color rgb="FF7030A0"/>
        <rFont val="Arial"/>
        <family val="2"/>
      </rPr>
      <t>?</t>
    </r>
  </si>
  <si>
    <r>
      <t xml:space="preserve">Select one </t>
    </r>
    <r>
      <rPr>
        <b/>
        <sz val="10"/>
        <color theme="5" tint="-0.499984740745262"/>
        <rFont val="Arial"/>
        <family val="2"/>
      </rPr>
      <t>WW</t>
    </r>
    <r>
      <rPr>
        <sz val="10"/>
        <rFont val="Arial"/>
        <family val="2"/>
      </rPr>
      <t xml:space="preserve"> </t>
    </r>
    <r>
      <rPr>
        <b/>
        <sz val="10"/>
        <rFont val="Arial"/>
        <family val="2"/>
      </rPr>
      <t>servicing</t>
    </r>
    <r>
      <rPr>
        <sz val="10"/>
        <rFont val="Arial"/>
        <family val="2"/>
      </rPr>
      <t xml:space="preserve"> option</t>
    </r>
  </si>
  <si>
    <t>CALCULATIONS / SCREENSHOTS (from reports, etc.):</t>
  </si>
  <si>
    <r>
      <t xml:space="preserve">In this tool, hydraulic demand calculation is based on Sydney Water's -
i) </t>
    </r>
    <r>
      <rPr>
        <u/>
        <sz val="10"/>
        <color rgb="FF0070C0"/>
        <rFont val="Arial"/>
        <family val="2"/>
      </rPr>
      <t>'Non-residential Average Daily Water Use' guide</t>
    </r>
    <r>
      <rPr>
        <sz val="10"/>
        <rFont val="Arial"/>
        <family val="2"/>
      </rPr>
      <t xml:space="preserve"> and 
ii) default </t>
    </r>
    <r>
      <rPr>
        <u/>
        <sz val="10"/>
        <color rgb="FF0070C0"/>
        <rFont val="Arial"/>
        <family val="2"/>
      </rPr>
      <t>wastewater (WW) discharge factors</t>
    </r>
    <r>
      <rPr>
        <sz val="10"/>
        <rFont val="Arial"/>
        <family val="2"/>
      </rPr>
      <t>. 
Residential rates are from our planning guideline.</t>
    </r>
  </si>
  <si>
    <t>Yes</t>
  </si>
  <si>
    <t>WW EP</t>
  </si>
  <si>
    <t>L/EP</t>
  </si>
  <si>
    <t xml:space="preserve">L/dwelling </t>
  </si>
  <si>
    <t>Wastewater Input</t>
  </si>
  <si>
    <t>EP based</t>
  </si>
  <si>
    <t>Enter building area in square meters:</t>
  </si>
  <si>
    <t>Building area</t>
  </si>
  <si>
    <t>[WSC personel]</t>
  </si>
  <si>
    <t>Completed by (responsible WSC staff)</t>
  </si>
  <si>
    <t>Determine residential sub-type - for mixed development only - for Capacity Checks only</t>
  </si>
  <si>
    <t>[total area in square metres from all stages]</t>
  </si>
  <si>
    <t>Use the bottom section of this sheet.</t>
  </si>
  <si>
    <t>(excludes non-standard developments):</t>
  </si>
  <si>
    <t>Non-standard flow VS standard demand for non-res only</t>
  </si>
  <si>
    <r>
      <t xml:space="preserve">Data Entry for </t>
    </r>
    <r>
      <rPr>
        <b/>
        <sz val="14"/>
        <color rgb="FFC00000"/>
        <rFont val="Arial"/>
        <family val="2"/>
      </rPr>
      <t>standard</t>
    </r>
    <r>
      <rPr>
        <b/>
        <sz val="14"/>
        <rFont val="Arial"/>
        <family val="2"/>
      </rPr>
      <t xml:space="preserve"> development type</t>
    </r>
  </si>
  <si>
    <r>
      <t xml:space="preserve">Data Entry for </t>
    </r>
    <r>
      <rPr>
        <b/>
        <sz val="12"/>
        <rFont val="Arial"/>
        <family val="2"/>
      </rPr>
      <t>non-standard</t>
    </r>
    <r>
      <rPr>
        <b/>
        <sz val="12"/>
        <color rgb="FFC00000"/>
        <rFont val="Arial"/>
        <family val="2"/>
      </rPr>
      <t xml:space="preserve"> development type - all manual entry - if the development type &amp; sub-type are not found in WUG or require bespoke calculation</t>
    </r>
  </si>
  <si>
    <r>
      <t xml:space="preserve">   viii) The calculation of water and wastewater (standard) flow rates for residential developments is based on Sydney Water edition of Water Supply and Sewerage Codes. 
   ix) The calculation of potable water (standard) flow rates for non-residential developments are from the updated Water Usage Guide and wastewater discharge rates are determined using WUDF multiplied by the sum of potable water and recycled water.  
   x) For the standard development categories that are found in the updated Water Usage Guide (not requiring bespoke calculation), the </t>
    </r>
    <r>
      <rPr>
        <b/>
        <sz val="10"/>
        <rFont val="Arial"/>
        <family val="2"/>
      </rPr>
      <t>top section</t>
    </r>
    <r>
      <rPr>
        <sz val="10"/>
        <rFont val="Arial"/>
        <family val="2"/>
      </rPr>
      <t xml:space="preserve"> must be used (see screenshot provided).
   xi) For development categories (from Water Usage Guide) requiring </t>
    </r>
    <r>
      <rPr>
        <b/>
        <sz val="10"/>
        <color rgb="FFC00000"/>
        <rFont val="Arial"/>
        <family val="2"/>
      </rPr>
      <t>bespoke</t>
    </r>
    <r>
      <rPr>
        <sz val="10"/>
        <rFont val="Arial"/>
        <family val="2"/>
      </rPr>
      <t xml:space="preserve"> calculation, the </t>
    </r>
    <r>
      <rPr>
        <b/>
        <sz val="10"/>
        <rFont val="Arial"/>
        <family val="2"/>
      </rPr>
      <t>bottom section</t>
    </r>
    <r>
      <rPr>
        <sz val="10"/>
        <rFont val="Arial"/>
        <family val="2"/>
      </rPr>
      <t xml:space="preserve"> must be used (see the screenshot provided).
   xii) For all non-standard development categories (not found in Water Usage Guide), the </t>
    </r>
    <r>
      <rPr>
        <b/>
        <sz val="10"/>
        <rFont val="Arial"/>
        <family val="2"/>
      </rPr>
      <t>bottom section</t>
    </r>
    <r>
      <rPr>
        <sz val="10"/>
        <rFont val="Arial"/>
        <family val="2"/>
      </rPr>
      <t xml:space="preserve"> must be used (see the screenshot provided).</t>
    </r>
  </si>
  <si>
    <t>Version 1.1 - March 2025</t>
  </si>
  <si>
    <t>No entry required</t>
  </si>
  <si>
    <r>
      <rPr>
        <b/>
        <sz val="10"/>
        <rFont val="Arial"/>
        <family val="2"/>
      </rPr>
      <t>Summary sheet:</t>
    </r>
    <r>
      <rPr>
        <sz val="10"/>
        <rFont val="Arial"/>
        <family val="2"/>
      </rPr>
      <t xml:space="preserve"> The 'Summary' sheet provides the sum of average daily potable water (PW), wastewater (WW) and recycled water (RW) demands from the development.
   i) WSC needs to fill out the yellow cells
   ii) Area and number of dwelling inputs are required for determining the "</t>
    </r>
    <r>
      <rPr>
        <b/>
        <sz val="10"/>
        <rFont val="Arial"/>
        <family val="2"/>
      </rPr>
      <t>residential Sub-Type</t>
    </r>
    <r>
      <rPr>
        <sz val="10"/>
        <rFont val="Arial"/>
        <family val="2"/>
      </rPr>
      <t>" for capacity check purposes only. Enter total number of dwellings for all stages and total areas (lot size) for all stages. The area is the net developable area excluding road, public reserves, etc.
   iii) The flow rates will be summarised from 'Data Input' sheet
   iv) Rest of the information is for Sydney Water use only</t>
    </r>
  </si>
  <si>
    <r>
      <rPr>
        <b/>
        <sz val="10"/>
        <rFont val="Arial"/>
        <family val="2"/>
      </rPr>
      <t>Data Input sheet:</t>
    </r>
    <r>
      <rPr>
        <sz val="10"/>
        <rFont val="Arial"/>
        <family val="2"/>
      </rPr>
      <t xml:space="preserve">
   i) This is the main data entry sheet for WSC/Developers.
   ii) This sheet is divided into 2 sections, the top part labelled as </t>
    </r>
    <r>
      <rPr>
        <b/>
        <i/>
        <sz val="10"/>
        <rFont val="Arial"/>
        <family val="2"/>
      </rPr>
      <t xml:space="preserve">'Data Entry for </t>
    </r>
    <r>
      <rPr>
        <b/>
        <i/>
        <sz val="10"/>
        <color rgb="FFC00000"/>
        <rFont val="Arial"/>
        <family val="2"/>
      </rPr>
      <t>standard</t>
    </r>
    <r>
      <rPr>
        <b/>
        <i/>
        <sz val="10"/>
        <rFont val="Arial"/>
        <family val="2"/>
      </rPr>
      <t xml:space="preserve"> development type'</t>
    </r>
    <r>
      <rPr>
        <sz val="10"/>
        <rFont val="Arial"/>
        <family val="2"/>
      </rPr>
      <t xml:space="preserve"> allows automatic data extraction and calculation for residential and non-residential and some special-use developments with standard values from Water Usage Guide and with the default Wastewater Usage Discharge Factors (WUDF).
   iii) This top part also allows manual entry for non-standard values (PW:RW ratio, WUDF, etc.) if the developments fall under the categories defined in first two columns in this top section.
   iv) Then the bottom section is labelled (red font) as </t>
    </r>
    <r>
      <rPr>
        <b/>
        <i/>
        <sz val="10"/>
        <color rgb="FFC00000"/>
        <rFont val="Arial"/>
        <family val="2"/>
      </rPr>
      <t xml:space="preserve">'Data Entry for </t>
    </r>
    <r>
      <rPr>
        <b/>
        <i/>
        <sz val="10"/>
        <rFont val="Arial"/>
        <family val="2"/>
      </rPr>
      <t>Non-standard</t>
    </r>
    <r>
      <rPr>
        <b/>
        <i/>
        <sz val="10"/>
        <color rgb="FFC00000"/>
        <rFont val="Arial"/>
        <family val="2"/>
      </rPr>
      <t xml:space="preserve"> development type'</t>
    </r>
    <r>
      <rPr>
        <sz val="10"/>
        <rFont val="Arial"/>
        <family val="2"/>
      </rPr>
      <t xml:space="preserve">. This part needs full manual entry and there is no automated extraction because the development type is unique and does not fall under any standard category.
   v) The data entry is all numeric in the standard (top) section of this sheet while the data entry is as required by the columns in the non-standard section (bottom) section. 
   vi) </t>
    </r>
    <r>
      <rPr>
        <b/>
        <sz val="10"/>
        <rFont val="Arial"/>
        <family val="2"/>
      </rPr>
      <t>Development Type</t>
    </r>
    <r>
      <rPr>
        <sz val="10"/>
        <rFont val="Arial"/>
        <family val="2"/>
      </rPr>
      <t xml:space="preserve"> - These are listed in the 1st column as options to choose from.
   vii) </t>
    </r>
    <r>
      <rPr>
        <b/>
        <sz val="10"/>
        <rFont val="Arial"/>
        <family val="2"/>
      </rPr>
      <t>Development Sub-type</t>
    </r>
    <r>
      <rPr>
        <sz val="10"/>
        <rFont val="Arial"/>
        <family val="2"/>
      </rPr>
      <t xml:space="preserve"> - These sub-types in the 2nd column change based on "Development Type" from the 1st column. 
         # Residential development type can be used when the application is related to residential development or mixed-use development. For residential development, the determined flow rates will be used for capacity check purpose only, because Infrastructure Contribution charges are calculated from dwelling/lot numbers and area for residential developments. 
         # When residential Development Type is selected in the 1st column, the sub-types will be available to select from the 2nd column. To determine which residential </t>
    </r>
    <r>
      <rPr>
        <b/>
        <sz val="10"/>
        <rFont val="Arial"/>
        <family val="2"/>
      </rPr>
      <t>sub-type</t>
    </r>
    <r>
      <rPr>
        <sz val="10"/>
        <rFont val="Arial"/>
        <family val="2"/>
      </rPr>
      <t xml:space="preserve"> to select, please use Summary sheet's "Determine residential sub-type" section and enter total number of dwellings for all stages and areas for all stages whether those stages are included in the current case (or application) or not.
        # Enter the number of dwelling that are related to the application or case in Column 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</si>
</sst>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d/mm/yyyy\ ddd"/>
    <numFmt numFmtId="165" formatCode="#,##0.0"/>
    <numFmt numFmtId="166" formatCode="#,##0.000"/>
    <numFmt numFmtId="167" formatCode="0.0%"/>
    <numFmt numFmtId="168" formatCode="0.0"/>
    <numFmt numFmtId="169" formatCode="0.000"/>
  </numFmts>
  <fonts count="65">
    <font>
      <sz val="10"/>
      <name val="Arial"/>
    </font>
    <font>
      <sz val="10"/>
      <name val="Arial"/>
      <family val="2"/>
    </font>
    <font>
      <sz val="10"/>
      <name val="Arial"/>
      <family val="2"/>
    </font>
    <font>
      <b/>
      <sz val="10"/>
      <name val="Arial"/>
      <family val="2"/>
    </font>
    <font>
      <sz val="8"/>
      <name val="Arial"/>
      <family val="2"/>
    </font>
    <font>
      <u/>
      <sz val="14"/>
      <name val="Arial"/>
      <family val="2"/>
    </font>
    <font>
      <sz val="10"/>
      <color rgb="FFFF0000"/>
      <name val="Arial"/>
      <family val="2"/>
    </font>
    <font>
      <i/>
      <sz val="10"/>
      <color rgb="FFFF0000"/>
      <name val="Arial"/>
      <family val="2"/>
    </font>
    <font>
      <sz val="10"/>
      <color rgb="FFC00000"/>
      <name val="Arial"/>
      <family val="2"/>
    </font>
    <font>
      <u/>
      <sz val="10"/>
      <color theme="10"/>
      <name val="Arial"/>
      <family val="2"/>
    </font>
    <font>
      <sz val="9"/>
      <name val="Arial"/>
      <family val="2"/>
    </font>
    <font>
      <b/>
      <sz val="16"/>
      <color theme="8" tint="-0.499984740745262"/>
      <name val="Arial"/>
      <family val="2"/>
    </font>
    <font>
      <sz val="10"/>
      <color theme="8" tint="-0.249977111117893"/>
      <name val="Arial"/>
      <family val="2"/>
    </font>
    <font>
      <b/>
      <sz val="10"/>
      <color theme="0"/>
      <name val="Arial"/>
      <family val="2"/>
    </font>
    <font>
      <sz val="10"/>
      <color rgb="FF000000"/>
      <name val="Arial"/>
      <family val="2"/>
    </font>
    <font>
      <b/>
      <sz val="10"/>
      <color rgb="FF000000"/>
      <name val="Arial"/>
      <family val="2"/>
    </font>
    <font>
      <b/>
      <sz val="10"/>
      <color rgb="FF0070C0"/>
      <name val="Arial"/>
      <family val="2"/>
    </font>
    <font>
      <b/>
      <sz val="10"/>
      <color rgb="FF7030A0"/>
      <name val="Arial"/>
      <family val="2"/>
    </font>
    <font>
      <b/>
      <sz val="10"/>
      <color rgb="FF806000"/>
      <name val="Arial"/>
      <family val="2"/>
    </font>
    <font>
      <sz val="9"/>
      <color indexed="81"/>
      <name val="Tahoma"/>
      <family val="2"/>
    </font>
    <font>
      <b/>
      <sz val="9"/>
      <color indexed="81"/>
      <name val="Tahoma"/>
      <family val="2"/>
    </font>
    <font>
      <b/>
      <sz val="10"/>
      <color indexed="9"/>
      <name val="Arial"/>
      <family val="2"/>
    </font>
    <font>
      <b/>
      <sz val="10"/>
      <color theme="5" tint="0.39997558519241921"/>
      <name val="Arial"/>
      <family val="2"/>
    </font>
    <font>
      <sz val="10"/>
      <color theme="1" tint="0.499984740745262"/>
      <name val="Arial"/>
      <family val="2"/>
    </font>
    <font>
      <b/>
      <sz val="10"/>
      <color rgb="FF0070C0"/>
      <name val="Arial"/>
      <family val="2"/>
    </font>
    <font>
      <sz val="8"/>
      <color theme="1" tint="0.499984740745262"/>
      <name val="Arial"/>
      <family val="2"/>
    </font>
    <font>
      <sz val="10"/>
      <color rgb="FF7030A0"/>
      <name val="Arial"/>
      <family val="2"/>
    </font>
    <font>
      <sz val="10"/>
      <color theme="1"/>
      <name val="Arial"/>
      <family val="2"/>
    </font>
    <font>
      <b/>
      <sz val="10"/>
      <color theme="1" tint="0.499984740745262"/>
      <name val="Arial"/>
      <family val="2"/>
    </font>
    <font>
      <b/>
      <sz val="10"/>
      <color rgb="FFC00000"/>
      <name val="Arial"/>
      <family val="2"/>
    </font>
    <font>
      <b/>
      <sz val="12"/>
      <color theme="0"/>
      <name val="Arial"/>
      <family val="2"/>
    </font>
    <font>
      <b/>
      <sz val="10"/>
      <color theme="7" tint="-0.499984740745262"/>
      <name val="Arial"/>
      <family val="2"/>
    </font>
    <font>
      <sz val="10"/>
      <color theme="5" tint="-0.499984740745262"/>
      <name val="Arial"/>
      <family val="2"/>
    </font>
    <font>
      <b/>
      <i/>
      <sz val="10"/>
      <color theme="5" tint="-0.499984740745262"/>
      <name val="Arial"/>
      <family val="2"/>
    </font>
    <font>
      <sz val="10"/>
      <color theme="0" tint="-0.34998626667073579"/>
      <name val="Arial"/>
      <family val="2"/>
    </font>
    <font>
      <sz val="10"/>
      <color rgb="FF0070C0"/>
      <name val="Arial"/>
      <family val="2"/>
    </font>
    <font>
      <sz val="9"/>
      <color rgb="FF0070C0"/>
      <name val="Arial"/>
      <family val="2"/>
    </font>
    <font>
      <b/>
      <sz val="10"/>
      <color theme="5" tint="-0.499984740745262"/>
      <name val="Arial"/>
      <family val="2"/>
    </font>
    <font>
      <b/>
      <sz val="10"/>
      <color theme="1" tint="0.499984740745262"/>
      <name val="Arial"/>
      <family val="1"/>
      <charset val="2"/>
    </font>
    <font>
      <b/>
      <sz val="10"/>
      <color theme="1" tint="0.499984740745262"/>
      <name val="Symbol"/>
      <family val="1"/>
      <charset val="2"/>
    </font>
    <font>
      <b/>
      <sz val="14"/>
      <name val="Arial"/>
      <family val="2"/>
    </font>
    <font>
      <b/>
      <u/>
      <sz val="10"/>
      <color rgb="FF0070C0"/>
      <name val="Arial"/>
      <family val="2"/>
    </font>
    <font>
      <b/>
      <sz val="11"/>
      <name val="Arial"/>
      <family val="2"/>
    </font>
    <font>
      <b/>
      <sz val="14"/>
      <color rgb="FFC00000"/>
      <name val="Arial"/>
      <family val="2"/>
    </font>
    <font>
      <b/>
      <sz val="12"/>
      <color rgb="FFC00000"/>
      <name val="Arial"/>
      <family val="2"/>
    </font>
    <font>
      <sz val="10"/>
      <color theme="0" tint="-0.499984740745262"/>
      <name val="Arial"/>
      <family val="2"/>
    </font>
    <font>
      <b/>
      <sz val="10"/>
      <color rgb="FF002060"/>
      <name val="Arial"/>
      <family val="2"/>
    </font>
    <font>
      <u/>
      <sz val="10"/>
      <color rgb="FF0070C0"/>
      <name val="Arial"/>
      <family val="2"/>
    </font>
    <font>
      <sz val="10"/>
      <color rgb="FF002060"/>
      <name val="Arial"/>
      <family val="2"/>
    </font>
    <font>
      <b/>
      <i/>
      <sz val="10"/>
      <name val="Arial"/>
      <family val="2"/>
    </font>
    <font>
      <b/>
      <i/>
      <sz val="10"/>
      <color rgb="FFC00000"/>
      <name val="Arial"/>
      <family val="2"/>
    </font>
    <font>
      <b/>
      <sz val="16"/>
      <name val="Arial"/>
      <family val="2"/>
    </font>
    <font>
      <b/>
      <sz val="10"/>
      <name val="Symbol"/>
      <family val="1"/>
      <charset val="2"/>
    </font>
    <font>
      <b/>
      <sz val="14"/>
      <color rgb="FF0070C0"/>
      <name val="Arial"/>
      <family val="2"/>
    </font>
    <font>
      <b/>
      <sz val="14"/>
      <color rgb="FF7030A0"/>
      <name val="Arial"/>
      <family val="2"/>
    </font>
    <font>
      <b/>
      <sz val="14"/>
      <color theme="5" tint="-0.249977111117893"/>
      <name val="Arial"/>
      <family val="2"/>
    </font>
    <font>
      <b/>
      <sz val="11"/>
      <color theme="1"/>
      <name val="Calibri"/>
      <family val="2"/>
      <scheme val="minor"/>
    </font>
    <font>
      <b/>
      <sz val="8"/>
      <color rgb="FF0070C0"/>
      <name val="Arial"/>
      <family val="2"/>
    </font>
    <font>
      <sz val="9"/>
      <color rgb="FFC00000"/>
      <name val="Arial"/>
      <family val="2"/>
    </font>
    <font>
      <sz val="8"/>
      <color rgb="FF0070C0"/>
      <name val="Calibri"/>
      <family val="2"/>
    </font>
    <font>
      <b/>
      <sz val="8"/>
      <color rgb="FF0070C0"/>
      <name val="Calibri"/>
      <family val="2"/>
    </font>
    <font>
      <b/>
      <sz val="10"/>
      <color theme="1"/>
      <name val="Arial"/>
      <family val="2"/>
    </font>
    <font>
      <b/>
      <sz val="12"/>
      <name val="Arial"/>
      <family val="2"/>
    </font>
    <font>
      <sz val="10"/>
      <color theme="9" tint="-0.499984740745262"/>
      <name val="Arial"/>
      <family val="2"/>
    </font>
    <font>
      <b/>
      <sz val="10"/>
      <color theme="9" tint="-0.499984740745262"/>
      <name val="Arial"/>
      <family val="2"/>
    </font>
  </fonts>
  <fills count="18">
    <fill>
      <patternFill patternType="none"/>
    </fill>
    <fill>
      <patternFill patternType="gray125"/>
    </fill>
    <fill>
      <patternFill patternType="solid">
        <fgColor theme="0" tint="-0.149998474074526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0070C0"/>
        <bgColor indexed="64"/>
      </patternFill>
    </fill>
    <fill>
      <patternFill patternType="solid">
        <fgColor theme="9" tint="-0.249977111117893"/>
        <bgColor indexed="64"/>
      </patternFill>
    </fill>
    <fill>
      <patternFill patternType="solid">
        <fgColor theme="1" tint="0.499984740745262"/>
        <bgColor indexed="64"/>
      </patternFill>
    </fill>
    <fill>
      <patternFill patternType="solid">
        <fgColor theme="5" tint="0.79998168889431442"/>
        <bgColor indexed="64"/>
      </patternFill>
    </fill>
    <fill>
      <patternFill patternType="solid">
        <fgColor theme="1"/>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C00000"/>
        <bgColor indexed="64"/>
      </patternFill>
    </fill>
    <fill>
      <patternFill patternType="solid">
        <fgColor rgb="FF7030A0"/>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9" tint="-0.499984740745262"/>
        <bgColor indexed="64"/>
      </patternFill>
    </fill>
  </fills>
  <borders count="45">
    <border>
      <left/>
      <right/>
      <top/>
      <bottom/>
      <diagonal/>
    </border>
    <border>
      <left/>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24994659260841701"/>
      </top>
      <bottom style="double">
        <color theme="0" tint="-0.2499465926084170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medium">
        <color indexed="64"/>
      </top>
      <bottom/>
      <diagonal/>
    </border>
    <border>
      <left/>
      <right/>
      <top/>
      <bottom style="medium">
        <color indexed="64"/>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medium">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theme="0" tint="-0.24994659260841701"/>
      </top>
      <bottom style="thin">
        <color indexed="64"/>
      </bottom>
      <diagonal/>
    </border>
    <border>
      <left/>
      <right style="thin">
        <color indexed="64"/>
      </right>
      <top/>
      <bottom style="thin">
        <color indexed="64"/>
      </bottom>
      <diagonal/>
    </border>
    <border>
      <left style="medium">
        <color indexed="64"/>
      </left>
      <right style="thin">
        <color theme="0" tint="-0.24994659260841701"/>
      </right>
      <top style="thin">
        <color theme="0" tint="-0.24994659260841701"/>
      </top>
      <bottom style="thin">
        <color theme="0" tint="-0.24994659260841701"/>
      </bottom>
      <diagonal/>
    </border>
    <border>
      <left style="medium">
        <color indexed="64"/>
      </left>
      <right/>
      <top style="thin">
        <color theme="0" tint="-0.24994659260841701"/>
      </top>
      <bottom style="thin">
        <color theme="0" tint="-0.24994659260841701"/>
      </bottom>
      <diagonal/>
    </border>
    <border>
      <left style="medium">
        <color indexed="64"/>
      </left>
      <right/>
      <top style="thin">
        <color theme="0" tint="-0.24994659260841701"/>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468">
    <xf numFmtId="0" fontId="0" fillId="0" borderId="0" xfId="0"/>
    <xf numFmtId="0" fontId="4" fillId="0" borderId="0" xfId="0" applyFont="1" applyAlignment="1">
      <alignment horizontal="center" vertical="center"/>
    </xf>
    <xf numFmtId="2" fontId="4" fillId="0" borderId="0" xfId="0" applyNumberFormat="1" applyFont="1" applyAlignment="1">
      <alignment horizontal="center" vertical="center"/>
    </xf>
    <xf numFmtId="0" fontId="4" fillId="0" borderId="0" xfId="0" applyFont="1" applyAlignment="1">
      <alignment horizontal="center" vertical="center" wrapText="1"/>
    </xf>
    <xf numFmtId="0" fontId="0" fillId="0" borderId="0" xfId="0" applyAlignment="1">
      <alignment horizontal="center" vertical="center"/>
    </xf>
    <xf numFmtId="2" fontId="0" fillId="0" borderId="0" xfId="0" applyNumberFormat="1" applyAlignment="1">
      <alignment horizontal="center" vertical="center"/>
    </xf>
    <xf numFmtId="0" fontId="4"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center" vertical="center" wrapText="1"/>
    </xf>
    <xf numFmtId="0" fontId="5" fillId="0" borderId="0" xfId="0" applyFont="1" applyAlignment="1">
      <alignment horizontal="left" vertical="center"/>
    </xf>
    <xf numFmtId="0" fontId="2" fillId="0" borderId="0" xfId="0" applyFont="1"/>
    <xf numFmtId="0" fontId="2" fillId="0" borderId="0" xfId="0" applyFont="1" applyAlignment="1">
      <alignment horizontal="center" vertical="center"/>
    </xf>
    <xf numFmtId="9" fontId="0" fillId="0" borderId="0" xfId="1" applyFont="1"/>
    <xf numFmtId="9" fontId="0" fillId="0" borderId="0" xfId="1" applyFont="1" applyAlignment="1">
      <alignment horizontal="center" vertical="center"/>
    </xf>
    <xf numFmtId="0" fontId="0" fillId="2" borderId="0" xfId="0" applyFill="1" applyAlignment="1">
      <alignment horizontal="center" vertical="center" wrapText="1"/>
    </xf>
    <xf numFmtId="0" fontId="0" fillId="0" borderId="0" xfId="0" applyAlignment="1">
      <alignment horizontal="right"/>
    </xf>
    <xf numFmtId="0" fontId="0" fillId="0" borderId="0" xfId="0" applyAlignment="1">
      <alignment vertical="center"/>
    </xf>
    <xf numFmtId="0" fontId="8" fillId="0" borderId="0" xfId="0" applyFont="1" applyAlignment="1">
      <alignment vertical="center"/>
    </xf>
    <xf numFmtId="0" fontId="0" fillId="0" borderId="0" xfId="0" applyAlignment="1">
      <alignment vertical="center" wrapText="1"/>
    </xf>
    <xf numFmtId="0" fontId="2" fillId="0" borderId="0" xfId="0" applyFont="1" applyAlignment="1">
      <alignment vertical="center" wrapText="1"/>
    </xf>
    <xf numFmtId="0" fontId="0" fillId="2" borderId="0" xfId="0" applyFill="1" applyAlignment="1">
      <alignment horizontal="center" vertical="center"/>
    </xf>
    <xf numFmtId="0" fontId="1" fillId="0" borderId="0" xfId="0" applyFont="1"/>
    <xf numFmtId="0" fontId="1" fillId="0" borderId="0" xfId="0" applyFont="1" applyAlignment="1">
      <alignment horizontal="center"/>
    </xf>
    <xf numFmtId="0" fontId="0" fillId="0" borderId="0" xfId="0" applyAlignment="1">
      <alignment horizontal="center"/>
    </xf>
    <xf numFmtId="9" fontId="1" fillId="0" borderId="0" xfId="0" applyNumberFormat="1" applyFont="1" applyAlignment="1">
      <alignment horizontal="center"/>
    </xf>
    <xf numFmtId="0" fontId="1" fillId="0" borderId="0" xfId="0" applyFont="1" applyAlignment="1">
      <alignment horizontal="center" vertical="center"/>
    </xf>
    <xf numFmtId="0" fontId="6" fillId="0" borderId="0" xfId="0" applyFont="1" applyAlignment="1">
      <alignment horizontal="center" vertical="center" wrapText="1"/>
    </xf>
    <xf numFmtId="9" fontId="1" fillId="0" borderId="0" xfId="1" applyFont="1" applyAlignment="1">
      <alignment horizontal="center" vertical="center"/>
    </xf>
    <xf numFmtId="0" fontId="1" fillId="0" borderId="0" xfId="0" applyFont="1" applyAlignment="1">
      <alignment vertical="center"/>
    </xf>
    <xf numFmtId="0" fontId="2" fillId="0" borderId="2" xfId="0" applyFont="1" applyBorder="1" applyAlignment="1">
      <alignment horizontal="center" vertical="center"/>
    </xf>
    <xf numFmtId="0" fontId="2" fillId="0" borderId="2" xfId="0" applyFont="1" applyBorder="1" applyAlignment="1">
      <alignment vertical="center" wrapText="1"/>
    </xf>
    <xf numFmtId="0" fontId="1" fillId="0" borderId="2" xfId="0" applyFont="1" applyBorder="1" applyAlignment="1">
      <alignment vertical="center" wrapText="1"/>
    </xf>
    <xf numFmtId="0" fontId="0" fillId="0" borderId="2" xfId="0" applyBorder="1" applyAlignment="1">
      <alignment vertical="center" wrapText="1"/>
    </xf>
    <xf numFmtId="0" fontId="3" fillId="0" borderId="0" xfId="0" applyFont="1"/>
    <xf numFmtId="0" fontId="12" fillId="0" borderId="0" xfId="0" applyFont="1" applyAlignment="1">
      <alignment horizontal="left" vertical="center" wrapText="1"/>
    </xf>
    <xf numFmtId="0" fontId="0" fillId="0" borderId="2" xfId="0" applyBorder="1" applyAlignment="1">
      <alignment horizontal="center" vertical="center" wrapText="1"/>
    </xf>
    <xf numFmtId="0" fontId="3" fillId="0" borderId="2" xfId="0" applyFont="1" applyBorder="1" applyAlignment="1">
      <alignment horizontal="center" vertical="center" wrapText="1"/>
    </xf>
    <xf numFmtId="0" fontId="3" fillId="3"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0" fillId="2" borderId="2" xfId="0" applyFill="1" applyBorder="1" applyAlignment="1">
      <alignment horizontal="center" vertical="center" wrapText="1"/>
    </xf>
    <xf numFmtId="0" fontId="1" fillId="2" borderId="2" xfId="0" applyFont="1" applyFill="1" applyBorder="1" applyAlignment="1">
      <alignment horizontal="center" vertical="center" wrapText="1"/>
    </xf>
    <xf numFmtId="0" fontId="2" fillId="2" borderId="2" xfId="0" applyFont="1" applyFill="1" applyBorder="1" applyAlignment="1">
      <alignment horizontal="center" vertical="center"/>
    </xf>
    <xf numFmtId="0" fontId="1" fillId="2" borderId="2" xfId="0" applyFont="1" applyFill="1" applyBorder="1" applyAlignment="1">
      <alignment horizontal="center" vertical="center"/>
    </xf>
    <xf numFmtId="0" fontId="1" fillId="0" borderId="2" xfId="0" applyFont="1" applyBorder="1" applyAlignment="1">
      <alignment horizontal="left" wrapText="1"/>
    </xf>
    <xf numFmtId="0" fontId="1" fillId="4" borderId="2" xfId="0" applyFont="1" applyFill="1" applyBorder="1" applyAlignment="1">
      <alignment horizontal="left" vertical="center" wrapText="1"/>
    </xf>
    <xf numFmtId="0" fontId="1" fillId="4" borderId="2" xfId="0" applyFont="1" applyFill="1" applyBorder="1" applyAlignment="1">
      <alignment horizontal="center" vertical="center" wrapText="1"/>
    </xf>
    <xf numFmtId="0" fontId="21" fillId="5" borderId="2" xfId="0" applyFont="1" applyFill="1" applyBorder="1" applyAlignment="1">
      <alignment horizontal="left" vertical="center" wrapText="1"/>
    </xf>
    <xf numFmtId="0" fontId="21" fillId="5" borderId="2" xfId="0" applyFont="1" applyFill="1" applyBorder="1" applyAlignment="1">
      <alignment horizontal="center" vertical="center" wrapText="1"/>
    </xf>
    <xf numFmtId="2" fontId="21" fillId="5" borderId="2" xfId="0" applyNumberFormat="1" applyFont="1" applyFill="1" applyBorder="1" applyAlignment="1">
      <alignment horizontal="center" vertical="center" wrapText="1"/>
    </xf>
    <xf numFmtId="2" fontId="22" fillId="5" borderId="2" xfId="0" applyNumberFormat="1" applyFont="1" applyFill="1" applyBorder="1" applyAlignment="1">
      <alignment horizontal="center" vertical="center" wrapText="1"/>
    </xf>
    <xf numFmtId="0" fontId="2" fillId="0" borderId="2" xfId="0" applyFont="1" applyBorder="1" applyAlignment="1">
      <alignment horizontal="center" vertical="center" wrapText="1"/>
    </xf>
    <xf numFmtId="2" fontId="2" fillId="0" borderId="2" xfId="0" applyNumberFormat="1" applyFont="1" applyBorder="1" applyAlignment="1">
      <alignment horizontal="center" vertical="center" wrapText="1"/>
    </xf>
    <xf numFmtId="9" fontId="0" fillId="0" borderId="2" xfId="1" applyFont="1" applyBorder="1" applyAlignment="1">
      <alignment horizontal="center" vertical="center" wrapText="1"/>
    </xf>
    <xf numFmtId="0" fontId="2" fillId="0" borderId="2" xfId="0" applyFont="1" applyBorder="1" applyAlignment="1">
      <alignment horizontal="center" vertical="top" wrapText="1"/>
    </xf>
    <xf numFmtId="2" fontId="2" fillId="0" borderId="2" xfId="0" applyNumberFormat="1" applyFont="1" applyBorder="1" applyAlignment="1">
      <alignment horizontal="center" vertical="center"/>
    </xf>
    <xf numFmtId="0" fontId="23" fillId="0" borderId="0" xfId="0" applyFont="1" applyAlignment="1">
      <alignment horizontal="center" vertical="center"/>
    </xf>
    <xf numFmtId="0" fontId="24" fillId="0" borderId="0" xfId="0" applyFont="1"/>
    <xf numFmtId="0" fontId="25" fillId="0" borderId="0" xfId="0" applyFont="1" applyAlignment="1">
      <alignment horizontal="center" vertical="center"/>
    </xf>
    <xf numFmtId="0" fontId="13" fillId="9" borderId="0" xfId="0" applyFont="1" applyFill="1" applyAlignment="1">
      <alignment vertical="center"/>
    </xf>
    <xf numFmtId="0" fontId="26" fillId="0" borderId="2" xfId="0" applyFont="1" applyBorder="1" applyAlignment="1">
      <alignment horizontal="center" vertical="center" wrapText="1"/>
    </xf>
    <xf numFmtId="0" fontId="26" fillId="0" borderId="2" xfId="0" applyFont="1" applyBorder="1" applyAlignment="1">
      <alignment vertical="center" wrapText="1"/>
    </xf>
    <xf numFmtId="0" fontId="23" fillId="0" borderId="0" xfId="0" applyFont="1" applyAlignment="1">
      <alignment horizontal="right" vertical="center"/>
    </xf>
    <xf numFmtId="3" fontId="23" fillId="0" borderId="0" xfId="0" applyNumberFormat="1" applyFont="1" applyAlignment="1">
      <alignment horizontal="center" vertical="center"/>
    </xf>
    <xf numFmtId="0" fontId="23" fillId="0" borderId="7" xfId="0" applyFont="1" applyBorder="1" applyAlignment="1">
      <alignment vertical="center"/>
    </xf>
    <xf numFmtId="0" fontId="28" fillId="0" borderId="7" xfId="0" applyFont="1" applyBorder="1" applyAlignment="1">
      <alignment horizontal="center" vertical="center" wrapText="1"/>
    </xf>
    <xf numFmtId="0" fontId="1" fillId="0" borderId="2" xfId="0" applyFont="1" applyBorder="1" applyAlignment="1">
      <alignment horizontal="left" vertical="center" wrapText="1"/>
    </xf>
    <xf numFmtId="14" fontId="0" fillId="0" borderId="2" xfId="0" applyNumberFormat="1" applyBorder="1" applyAlignment="1">
      <alignment horizontal="center" vertical="center" wrapText="1"/>
    </xf>
    <xf numFmtId="0" fontId="1" fillId="0" borderId="2" xfId="0" applyFont="1" applyBorder="1" applyAlignment="1">
      <alignment horizontal="center" vertical="center" wrapText="1"/>
    </xf>
    <xf numFmtId="0" fontId="0" fillId="0" borderId="2" xfId="0" applyBorder="1" applyAlignment="1">
      <alignment horizontal="left" vertical="center" wrapText="1"/>
    </xf>
    <xf numFmtId="14" fontId="0" fillId="4" borderId="2" xfId="0" applyNumberFormat="1" applyFill="1" applyBorder="1" applyAlignment="1">
      <alignment horizontal="center" vertical="center" wrapText="1"/>
    </xf>
    <xf numFmtId="0" fontId="0" fillId="4" borderId="2" xfId="0" applyFill="1" applyBorder="1" applyAlignment="1">
      <alignment horizontal="left" vertical="center" wrapText="1"/>
    </xf>
    <xf numFmtId="0" fontId="1" fillId="8" borderId="2" xfId="0" applyFont="1" applyFill="1" applyBorder="1" applyAlignment="1">
      <alignment vertical="center" wrapText="1"/>
    </xf>
    <xf numFmtId="0" fontId="0" fillId="8" borderId="2" xfId="0" applyFill="1" applyBorder="1" applyAlignment="1">
      <alignment horizontal="center" vertical="center" wrapText="1"/>
    </xf>
    <xf numFmtId="0" fontId="1" fillId="8" borderId="2" xfId="0" applyFont="1" applyFill="1" applyBorder="1" applyAlignment="1">
      <alignment horizontal="center" vertical="center" wrapText="1"/>
    </xf>
    <xf numFmtId="0" fontId="0" fillId="8" borderId="2" xfId="0" applyFill="1" applyBorder="1" applyAlignment="1">
      <alignment horizontal="left" vertical="center" wrapText="1"/>
    </xf>
    <xf numFmtId="0" fontId="3" fillId="0" borderId="0" xfId="0" applyFont="1" applyAlignment="1">
      <alignment horizontal="left"/>
    </xf>
    <xf numFmtId="0" fontId="0" fillId="0" borderId="17" xfId="0" applyBorder="1" applyAlignment="1">
      <alignment horizontal="center"/>
    </xf>
    <xf numFmtId="0" fontId="0" fillId="0" borderId="18" xfId="0" applyBorder="1" applyAlignment="1">
      <alignment horizontal="center"/>
    </xf>
    <xf numFmtId="0" fontId="3" fillId="11" borderId="16" xfId="0" applyFont="1" applyFill="1" applyBorder="1" applyAlignment="1">
      <alignment horizontal="center"/>
    </xf>
    <xf numFmtId="0" fontId="3" fillId="11" borderId="17" xfId="0" applyFont="1" applyFill="1" applyBorder="1" applyAlignment="1">
      <alignment horizontal="center"/>
    </xf>
    <xf numFmtId="0" fontId="13" fillId="10" borderId="21" xfId="0" applyFont="1" applyFill="1" applyBorder="1" applyAlignment="1">
      <alignment horizontal="center"/>
    </xf>
    <xf numFmtId="0" fontId="13" fillId="10" borderId="20" xfId="0" applyFont="1" applyFill="1" applyBorder="1" applyAlignment="1">
      <alignment horizontal="center"/>
    </xf>
    <xf numFmtId="0" fontId="0" fillId="0" borderId="19" xfId="0" applyBorder="1" applyAlignment="1">
      <alignment horizontal="center"/>
    </xf>
    <xf numFmtId="0" fontId="0" fillId="0" borderId="23" xfId="0" applyBorder="1" applyAlignment="1">
      <alignment horizontal="center"/>
    </xf>
    <xf numFmtId="0" fontId="1" fillId="0" borderId="22" xfId="0" applyFont="1" applyBorder="1" applyAlignment="1">
      <alignment horizontal="center"/>
    </xf>
    <xf numFmtId="0" fontId="1" fillId="0" borderId="24" xfId="0" applyFont="1" applyBorder="1" applyAlignment="1">
      <alignment horizontal="center"/>
    </xf>
    <xf numFmtId="0" fontId="34" fillId="0" borderId="13" xfId="0" applyFont="1" applyBorder="1" applyAlignment="1">
      <alignment horizontal="center" vertical="center"/>
    </xf>
    <xf numFmtId="0" fontId="34" fillId="2" borderId="13" xfId="0" applyFont="1" applyFill="1" applyBorder="1" applyAlignment="1">
      <alignment horizontal="center" vertical="center"/>
    </xf>
    <xf numFmtId="0" fontId="34" fillId="0" borderId="8" xfId="0" applyFont="1" applyBorder="1" applyAlignment="1">
      <alignment horizontal="center" vertical="center"/>
    </xf>
    <xf numFmtId="0" fontId="34" fillId="0" borderId="9" xfId="0" applyFont="1" applyBorder="1" applyAlignment="1">
      <alignment horizontal="center" vertical="center"/>
    </xf>
    <xf numFmtId="0" fontId="34" fillId="2" borderId="9" xfId="0" applyFont="1" applyFill="1" applyBorder="1" applyAlignment="1">
      <alignment horizontal="center" vertical="center"/>
    </xf>
    <xf numFmtId="0" fontId="34" fillId="0" borderId="10" xfId="0" applyFont="1" applyBorder="1" applyAlignment="1">
      <alignment horizontal="center" vertical="center"/>
    </xf>
    <xf numFmtId="0" fontId="34" fillId="0" borderId="7" xfId="0" applyFont="1" applyBorder="1" applyAlignment="1">
      <alignment horizontal="center" vertical="center"/>
    </xf>
    <xf numFmtId="0" fontId="34" fillId="0" borderId="0" xfId="0" applyFont="1" applyAlignment="1">
      <alignment horizontal="center" vertical="center"/>
    </xf>
    <xf numFmtId="0" fontId="34" fillId="2" borderId="0" xfId="0" applyFont="1" applyFill="1" applyAlignment="1">
      <alignment horizontal="center" vertical="center"/>
    </xf>
    <xf numFmtId="0" fontId="34" fillId="0" borderId="11" xfId="0" applyFont="1" applyBorder="1" applyAlignment="1">
      <alignment horizontal="center" vertical="center"/>
    </xf>
    <xf numFmtId="0" fontId="34" fillId="0" borderId="12" xfId="0" applyFont="1" applyBorder="1" applyAlignment="1">
      <alignment horizontal="center" vertical="center"/>
    </xf>
    <xf numFmtId="0" fontId="34" fillId="0" borderId="14" xfId="0" applyFont="1" applyBorder="1" applyAlignment="1">
      <alignment horizontal="center" vertical="center"/>
    </xf>
    <xf numFmtId="0" fontId="34" fillId="0" borderId="4" xfId="0" applyFont="1" applyBorder="1" applyAlignment="1">
      <alignment horizontal="center" vertical="center"/>
    </xf>
    <xf numFmtId="0" fontId="34" fillId="0" borderId="5" xfId="0" applyFont="1" applyBorder="1" applyAlignment="1">
      <alignment horizontal="center" vertical="center"/>
    </xf>
    <xf numFmtId="0" fontId="34" fillId="2" borderId="5" xfId="0" applyFont="1" applyFill="1" applyBorder="1" applyAlignment="1">
      <alignment horizontal="center" vertical="center"/>
    </xf>
    <xf numFmtId="0" fontId="34" fillId="0" borderId="6" xfId="0" applyFont="1" applyBorder="1" applyAlignment="1">
      <alignment horizontal="center" vertical="center"/>
    </xf>
    <xf numFmtId="0" fontId="23" fillId="0" borderId="2" xfId="0" applyFont="1" applyBorder="1" applyAlignment="1">
      <alignment horizontal="center" vertical="center" wrapText="1"/>
    </xf>
    <xf numFmtId="0" fontId="17" fillId="12" borderId="25"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37" fillId="0" borderId="2" xfId="0" applyFont="1" applyBorder="1" applyAlignment="1">
      <alignment horizontal="center" vertical="center" wrapText="1"/>
    </xf>
    <xf numFmtId="0" fontId="37" fillId="3" borderId="2" xfId="0" applyFont="1" applyFill="1" applyBorder="1" applyAlignment="1">
      <alignment horizontal="center" vertical="center" wrapText="1"/>
    </xf>
    <xf numFmtId="0" fontId="17" fillId="3" borderId="2" xfId="0" applyFont="1" applyFill="1" applyBorder="1" applyAlignment="1">
      <alignment horizontal="center" vertical="center" wrapText="1"/>
    </xf>
    <xf numFmtId="0" fontId="17" fillId="0" borderId="2" xfId="0" applyFont="1" applyBorder="1" applyAlignment="1">
      <alignment horizontal="center" vertical="center" wrapText="1"/>
    </xf>
    <xf numFmtId="0" fontId="16" fillId="0" borderId="2" xfId="0" applyFont="1" applyBorder="1" applyAlignment="1">
      <alignment horizontal="center" vertical="center" wrapText="1"/>
    </xf>
    <xf numFmtId="0" fontId="16" fillId="3" borderId="2" xfId="0" applyFont="1" applyFill="1" applyBorder="1" applyAlignment="1">
      <alignment horizontal="center" vertical="center" wrapText="1"/>
    </xf>
    <xf numFmtId="0" fontId="1" fillId="2" borderId="0" xfId="0" applyFont="1" applyFill="1"/>
    <xf numFmtId="0" fontId="0" fillId="2" borderId="0" xfId="0" applyFill="1"/>
    <xf numFmtId="0" fontId="3" fillId="2" borderId="2" xfId="0" applyFont="1" applyFill="1" applyBorder="1" applyAlignment="1">
      <alignment horizontal="center" vertical="center" wrapText="1"/>
    </xf>
    <xf numFmtId="0" fontId="23" fillId="0" borderId="0" xfId="0" quotePrefix="1" applyFont="1" applyAlignment="1">
      <alignment horizontal="left" vertical="center"/>
    </xf>
    <xf numFmtId="0" fontId="32" fillId="0" borderId="2" xfId="0" applyFont="1" applyBorder="1" applyAlignment="1" applyProtection="1">
      <alignment horizontal="center" vertical="center"/>
      <protection hidden="1"/>
    </xf>
    <xf numFmtId="0" fontId="1" fillId="0" borderId="2" xfId="0" applyFont="1" applyBorder="1" applyAlignment="1" applyProtection="1">
      <alignment horizontal="center"/>
      <protection hidden="1"/>
    </xf>
    <xf numFmtId="0" fontId="1" fillId="0" borderId="2" xfId="0" applyFont="1" applyBorder="1" applyAlignment="1" applyProtection="1">
      <alignment horizontal="center" vertical="center"/>
      <protection hidden="1"/>
    </xf>
    <xf numFmtId="0" fontId="0" fillId="0" borderId="0" xfId="0" applyAlignment="1" applyProtection="1">
      <alignment vertical="center"/>
      <protection hidden="1"/>
    </xf>
    <xf numFmtId="0" fontId="16" fillId="0" borderId="2" xfId="0" applyFont="1" applyBorder="1" applyAlignment="1" applyProtection="1">
      <alignment horizontal="center" vertical="center"/>
      <protection hidden="1"/>
    </xf>
    <xf numFmtId="0" fontId="1" fillId="4" borderId="3" xfId="0" applyFont="1" applyFill="1" applyBorder="1" applyAlignment="1" applyProtection="1">
      <alignment vertical="center" wrapText="1"/>
      <protection locked="0"/>
    </xf>
    <xf numFmtId="14" fontId="1" fillId="4" borderId="3" xfId="0" applyNumberFormat="1" applyFont="1" applyFill="1" applyBorder="1" applyAlignment="1" applyProtection="1">
      <alignment vertical="center" wrapText="1"/>
      <protection locked="0"/>
    </xf>
    <xf numFmtId="0" fontId="0" fillId="4" borderId="3" xfId="0" applyFill="1" applyBorder="1" applyAlignment="1" applyProtection="1">
      <alignment horizontal="center" vertical="center" wrapText="1"/>
      <protection locked="0"/>
    </xf>
    <xf numFmtId="0" fontId="0" fillId="4" borderId="3" xfId="0" applyFill="1" applyBorder="1" applyAlignment="1" applyProtection="1">
      <alignment vertical="center" wrapText="1"/>
      <protection locked="0"/>
    </xf>
    <xf numFmtId="0" fontId="0" fillId="4" borderId="2" xfId="0" applyFill="1" applyBorder="1" applyAlignment="1" applyProtection="1">
      <alignment horizontal="center" vertical="center" wrapText="1"/>
      <protection locked="0"/>
    </xf>
    <xf numFmtId="9" fontId="0" fillId="4" borderId="2" xfId="1" applyFont="1" applyFill="1" applyBorder="1" applyAlignment="1" applyProtection="1">
      <alignment horizontal="center" vertical="center" wrapText="1"/>
      <protection locked="0"/>
    </xf>
    <xf numFmtId="0" fontId="3" fillId="0" borderId="2" xfId="0" applyFont="1" applyBorder="1" applyAlignment="1">
      <alignment vertical="center"/>
    </xf>
    <xf numFmtId="0" fontId="0" fillId="0" borderId="2" xfId="0" applyBorder="1" applyAlignment="1">
      <alignment vertical="center"/>
    </xf>
    <xf numFmtId="0" fontId="35" fillId="0" borderId="2" xfId="0" applyFont="1" applyBorder="1" applyAlignment="1">
      <alignment horizontal="center" vertical="center"/>
    </xf>
    <xf numFmtId="0" fontId="26" fillId="0" borderId="2" xfId="0" applyFont="1" applyBorder="1" applyAlignment="1">
      <alignment horizontal="center" vertical="center"/>
    </xf>
    <xf numFmtId="0" fontId="35" fillId="0" borderId="2" xfId="0" applyFont="1" applyBorder="1" applyAlignment="1">
      <alignment vertical="center" wrapText="1"/>
    </xf>
    <xf numFmtId="0" fontId="35" fillId="0" borderId="2" xfId="0" applyFont="1" applyBorder="1" applyAlignment="1">
      <alignment horizontal="center" vertical="center" wrapText="1"/>
    </xf>
    <xf numFmtId="0" fontId="26" fillId="2" borderId="2" xfId="0" applyFont="1" applyFill="1" applyBorder="1" applyAlignment="1">
      <alignment horizontal="center" vertical="center" wrapText="1"/>
    </xf>
    <xf numFmtId="0" fontId="26" fillId="2" borderId="2" xfId="0" applyFont="1" applyFill="1" applyBorder="1" applyAlignment="1">
      <alignment horizontal="center" vertical="center"/>
    </xf>
    <xf numFmtId="0" fontId="35" fillId="2" borderId="2" xfId="0" applyFont="1" applyFill="1" applyBorder="1" applyAlignment="1">
      <alignment horizontal="center" vertical="center" wrapText="1"/>
    </xf>
    <xf numFmtId="0" fontId="35" fillId="2" borderId="2" xfId="0" applyFont="1" applyFill="1" applyBorder="1" applyAlignment="1">
      <alignment horizontal="center" vertical="center"/>
    </xf>
    <xf numFmtId="0" fontId="35" fillId="0" borderId="2" xfId="0" applyFont="1" applyBorder="1" applyAlignment="1">
      <alignment vertical="center"/>
    </xf>
    <xf numFmtId="0" fontId="26" fillId="0" borderId="2" xfId="0" applyFont="1" applyBorder="1" applyAlignment="1">
      <alignment vertical="center"/>
    </xf>
    <xf numFmtId="0" fontId="16" fillId="0" borderId="2" xfId="0" applyFont="1" applyBorder="1" applyAlignment="1">
      <alignment horizontal="center" vertical="center"/>
    </xf>
    <xf numFmtId="0" fontId="17" fillId="0" borderId="2" xfId="0" applyFont="1" applyBorder="1" applyAlignment="1">
      <alignment horizontal="center" vertical="center"/>
    </xf>
    <xf numFmtId="0" fontId="12" fillId="0" borderId="0" xfId="0" applyFont="1" applyAlignment="1">
      <alignment vertical="center" wrapText="1"/>
    </xf>
    <xf numFmtId="0" fontId="11" fillId="0" borderId="0" xfId="0" applyFont="1" applyAlignment="1">
      <alignment vertical="center"/>
    </xf>
    <xf numFmtId="0" fontId="37" fillId="0" borderId="2" xfId="0" applyFont="1" applyBorder="1" applyAlignment="1">
      <alignment vertical="center"/>
    </xf>
    <xf numFmtId="0" fontId="27" fillId="3" borderId="2" xfId="0" applyFont="1" applyFill="1" applyBorder="1" applyAlignment="1">
      <alignment horizontal="center" vertical="center" wrapText="1"/>
    </xf>
    <xf numFmtId="0" fontId="32" fillId="2" borderId="2" xfId="0" applyFont="1" applyFill="1" applyBorder="1" applyAlignment="1">
      <alignment horizontal="center" vertical="center" wrapText="1"/>
    </xf>
    <xf numFmtId="0" fontId="16" fillId="0" borderId="0" xfId="0" applyFont="1"/>
    <xf numFmtId="0" fontId="1" fillId="4" borderId="2" xfId="0" applyFont="1" applyFill="1" applyBorder="1" applyAlignment="1">
      <alignment vertical="center" wrapText="1"/>
    </xf>
    <xf numFmtId="0" fontId="35" fillId="0" borderId="0" xfId="0" applyFont="1" applyAlignment="1">
      <alignment horizontal="center" vertical="center" wrapText="1"/>
    </xf>
    <xf numFmtId="0" fontId="16" fillId="0" borderId="0" xfId="0" applyFont="1" applyAlignment="1">
      <alignment horizontal="center" vertical="center" wrapText="1"/>
    </xf>
    <xf numFmtId="3" fontId="34" fillId="0" borderId="10" xfId="0" applyNumberFormat="1" applyFont="1" applyBorder="1" applyAlignment="1">
      <alignment horizontal="center" vertical="center"/>
    </xf>
    <xf numFmtId="3" fontId="34" fillId="0" borderId="11" xfId="0" applyNumberFormat="1" applyFont="1" applyBorder="1" applyAlignment="1">
      <alignment horizontal="center" vertical="center"/>
    </xf>
    <xf numFmtId="3" fontId="34" fillId="0" borderId="14" xfId="0" applyNumberFormat="1" applyFont="1" applyBorder="1" applyAlignment="1">
      <alignment horizontal="center" vertical="center"/>
    </xf>
    <xf numFmtId="4" fontId="0" fillId="0" borderId="0" xfId="0" applyNumberFormat="1" applyAlignment="1">
      <alignment horizontal="center" vertical="center"/>
    </xf>
    <xf numFmtId="2" fontId="23" fillId="0" borderId="2" xfId="0" applyNumberFormat="1" applyFont="1" applyBorder="1" applyAlignment="1" applyProtection="1">
      <alignment horizontal="center" vertical="center" wrapText="1"/>
      <protection hidden="1"/>
    </xf>
    <xf numFmtId="0" fontId="1" fillId="0" borderId="0" xfId="0" applyFont="1" applyAlignment="1">
      <alignment horizontal="left" vertical="center"/>
    </xf>
    <xf numFmtId="0" fontId="1" fillId="4" borderId="2" xfId="0" applyFont="1" applyFill="1" applyBorder="1" applyAlignment="1" applyProtection="1">
      <alignment horizontal="center" vertical="center" wrapText="1"/>
      <protection locked="0"/>
    </xf>
    <xf numFmtId="0" fontId="1" fillId="4" borderId="2" xfId="0" applyFont="1" applyFill="1" applyBorder="1" applyAlignment="1" applyProtection="1">
      <alignment horizontal="left" vertical="center" wrapText="1"/>
      <protection locked="0"/>
    </xf>
    <xf numFmtId="0" fontId="0" fillId="4" borderId="2" xfId="0" applyFill="1" applyBorder="1" applyAlignment="1" applyProtection="1">
      <alignment horizontal="left" vertical="center" wrapText="1"/>
      <protection locked="0"/>
    </xf>
    <xf numFmtId="165" fontId="0" fillId="16" borderId="2" xfId="0" applyNumberFormat="1" applyFill="1" applyBorder="1" applyAlignment="1" applyProtection="1">
      <alignment horizontal="center" vertical="center" wrapText="1"/>
      <protection hidden="1"/>
    </xf>
    <xf numFmtId="4" fontId="0" fillId="16" borderId="2" xfId="0" applyNumberFormat="1" applyFill="1" applyBorder="1" applyAlignment="1" applyProtection="1">
      <alignment horizontal="center" vertical="center" wrapText="1"/>
      <protection hidden="1"/>
    </xf>
    <xf numFmtId="9" fontId="43" fillId="0" borderId="0" xfId="0" applyNumberFormat="1" applyFont="1" applyAlignment="1">
      <alignment horizontal="center" vertical="center" wrapText="1"/>
    </xf>
    <xf numFmtId="2" fontId="23" fillId="16" borderId="2" xfId="0" applyNumberFormat="1" applyFont="1" applyFill="1" applyBorder="1" applyAlignment="1" applyProtection="1">
      <alignment horizontal="center" vertical="center" wrapText="1"/>
      <protection hidden="1"/>
    </xf>
    <xf numFmtId="0" fontId="0" fillId="0" borderId="27" xfId="0" applyBorder="1"/>
    <xf numFmtId="0" fontId="0" fillId="0" borderId="21" xfId="0" applyBorder="1"/>
    <xf numFmtId="0" fontId="0" fillId="0" borderId="19" xfId="0" applyBorder="1"/>
    <xf numFmtId="0" fontId="0" fillId="0" borderId="22" xfId="0" applyBorder="1"/>
    <xf numFmtId="0" fontId="0" fillId="0" borderId="23" xfId="0" applyBorder="1"/>
    <xf numFmtId="0" fontId="0" fillId="0" borderId="28" xfId="0" applyBorder="1"/>
    <xf numFmtId="0" fontId="0" fillId="0" borderId="24" xfId="0" applyBorder="1"/>
    <xf numFmtId="0" fontId="0" fillId="0" borderId="13" xfId="0" applyBorder="1" applyAlignment="1">
      <alignment horizontal="center" vertical="center"/>
    </xf>
    <xf numFmtId="0" fontId="0" fillId="0" borderId="9" xfId="0" applyBorder="1" applyAlignment="1">
      <alignment horizontal="center" vertical="center"/>
    </xf>
    <xf numFmtId="0" fontId="34" fillId="0" borderId="26" xfId="0" applyFont="1" applyBorder="1" applyAlignment="1">
      <alignment horizontal="center" vertical="center"/>
    </xf>
    <xf numFmtId="9" fontId="45" fillId="0" borderId="0" xfId="1" applyFont="1" applyBorder="1" applyAlignment="1" applyProtection="1">
      <alignment horizontal="center"/>
      <protection hidden="1"/>
    </xf>
    <xf numFmtId="4" fontId="3" fillId="0" borderId="2" xfId="0" applyNumberFormat="1" applyFont="1" applyBorder="1" applyAlignment="1" applyProtection="1">
      <alignment horizontal="center"/>
      <protection hidden="1"/>
    </xf>
    <xf numFmtId="0" fontId="46" fillId="0" borderId="26" xfId="0" applyFont="1" applyBorder="1" applyAlignment="1">
      <alignment horizontal="center" vertical="center" wrapText="1"/>
    </xf>
    <xf numFmtId="166" fontId="0" fillId="0" borderId="0" xfId="0" applyNumberFormat="1" applyAlignment="1" applyProtection="1">
      <alignment horizontal="right" vertical="center"/>
      <protection hidden="1"/>
    </xf>
    <xf numFmtId="166" fontId="31" fillId="0" borderId="15" xfId="0" applyNumberFormat="1" applyFont="1" applyBorder="1" applyAlignment="1" applyProtection="1">
      <alignment horizontal="right" vertical="center"/>
      <protection hidden="1"/>
    </xf>
    <xf numFmtId="166" fontId="0" fillId="0" borderId="13" xfId="0" applyNumberFormat="1" applyBorder="1" applyAlignment="1" applyProtection="1">
      <alignment horizontal="right" vertical="center"/>
      <protection hidden="1"/>
    </xf>
    <xf numFmtId="166" fontId="16" fillId="0" borderId="15" xfId="0" applyNumberFormat="1" applyFont="1" applyBorder="1" applyAlignment="1" applyProtection="1">
      <alignment horizontal="right" vertical="center"/>
      <protection hidden="1"/>
    </xf>
    <xf numFmtId="166" fontId="17" fillId="0" borderId="15" xfId="0" applyNumberFormat="1" applyFont="1" applyBorder="1" applyAlignment="1" applyProtection="1">
      <alignment horizontal="right" vertical="center"/>
      <protection hidden="1"/>
    </xf>
    <xf numFmtId="166" fontId="0" fillId="0" borderId="2" xfId="0" applyNumberFormat="1" applyBorder="1" applyAlignment="1" applyProtection="1">
      <alignment horizontal="center" vertical="center" wrapText="1"/>
      <protection hidden="1"/>
    </xf>
    <xf numFmtId="166" fontId="23" fillId="4" borderId="2" xfId="0" applyNumberFormat="1" applyFont="1" applyFill="1" applyBorder="1" applyAlignment="1" applyProtection="1">
      <alignment horizontal="center" vertical="center" wrapText="1"/>
      <protection locked="0" hidden="1"/>
    </xf>
    <xf numFmtId="0" fontId="4" fillId="4" borderId="2" xfId="0" applyFont="1" applyFill="1" applyBorder="1" applyAlignment="1" applyProtection="1">
      <alignment horizontal="left" vertical="center"/>
      <protection locked="0"/>
    </xf>
    <xf numFmtId="164" fontId="2" fillId="4" borderId="2" xfId="0" applyNumberFormat="1" applyFont="1" applyFill="1" applyBorder="1" applyAlignment="1" applyProtection="1">
      <alignment horizontal="center" vertical="center"/>
      <protection locked="0"/>
    </xf>
    <xf numFmtId="1" fontId="27" fillId="4" borderId="2" xfId="0" applyNumberFormat="1" applyFont="1" applyFill="1" applyBorder="1" applyAlignment="1" applyProtection="1">
      <alignment horizontal="center" vertical="center"/>
      <protection locked="0"/>
    </xf>
    <xf numFmtId="3" fontId="35" fillId="0" borderId="0" xfId="0" quotePrefix="1" applyNumberFormat="1" applyFont="1" applyAlignment="1" applyProtection="1">
      <alignment horizontal="center" vertical="center" wrapText="1"/>
      <protection hidden="1"/>
    </xf>
    <xf numFmtId="3" fontId="16" fillId="0" borderId="0" xfId="0" quotePrefix="1" applyNumberFormat="1" applyFont="1" applyAlignment="1" applyProtection="1">
      <alignment horizontal="center" vertical="center" wrapText="1"/>
      <protection hidden="1"/>
    </xf>
    <xf numFmtId="3" fontId="16" fillId="0" borderId="2" xfId="0" quotePrefix="1" applyNumberFormat="1" applyFont="1" applyBorder="1" applyAlignment="1" applyProtection="1">
      <alignment horizontal="center" vertical="center" wrapText="1"/>
      <protection hidden="1"/>
    </xf>
    <xf numFmtId="3" fontId="35" fillId="0" borderId="0" xfId="0" quotePrefix="1" applyNumberFormat="1" applyFont="1" applyAlignment="1" applyProtection="1">
      <alignment vertical="center" wrapText="1"/>
      <protection hidden="1"/>
    </xf>
    <xf numFmtId="166" fontId="34" fillId="0" borderId="10" xfId="0" applyNumberFormat="1" applyFont="1" applyBorder="1" applyAlignment="1">
      <alignment horizontal="center" vertical="center"/>
    </xf>
    <xf numFmtId="0" fontId="13" fillId="5" borderId="25" xfId="0" applyFont="1" applyFill="1" applyBorder="1" applyAlignment="1">
      <alignment horizontal="center" vertical="center"/>
    </xf>
    <xf numFmtId="0" fontId="0" fillId="0" borderId="0" xfId="0" applyProtection="1">
      <protection locked="0"/>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36" fillId="0" borderId="9" xfId="0" applyFont="1" applyBorder="1" applyAlignment="1">
      <alignment horizontal="right" vertical="center" wrapText="1"/>
    </xf>
    <xf numFmtId="9" fontId="0" fillId="0" borderId="9" xfId="1" applyFont="1" applyFill="1" applyBorder="1" applyAlignment="1" applyProtection="1">
      <alignment horizontal="center" vertical="center" wrapText="1"/>
    </xf>
    <xf numFmtId="165" fontId="0" fillId="0" borderId="9" xfId="0" applyNumberFormat="1" applyBorder="1" applyAlignment="1">
      <alignment horizontal="center" vertical="center" wrapText="1"/>
    </xf>
    <xf numFmtId="4" fontId="0" fillId="0" borderId="9" xfId="0" applyNumberFormat="1" applyBorder="1" applyAlignment="1">
      <alignment horizontal="center" vertical="center" wrapText="1"/>
    </xf>
    <xf numFmtId="2" fontId="23" fillId="0" borderId="9" xfId="0" applyNumberFormat="1" applyFont="1" applyBorder="1" applyAlignment="1">
      <alignment horizontal="center" vertical="center" wrapText="1"/>
    </xf>
    <xf numFmtId="0" fontId="23" fillId="0" borderId="9" xfId="0" applyFont="1" applyBorder="1" applyAlignment="1">
      <alignment horizontal="center" vertical="center" wrapText="1"/>
    </xf>
    <xf numFmtId="3" fontId="34" fillId="0" borderId="0" xfId="0" applyNumberFormat="1" applyFont="1" applyAlignment="1">
      <alignment horizontal="center" vertical="center"/>
    </xf>
    <xf numFmtId="0" fontId="36" fillId="0" borderId="0" xfId="0" applyFont="1" applyAlignment="1">
      <alignment horizontal="right" vertical="center" wrapText="1"/>
    </xf>
    <xf numFmtId="9" fontId="0" fillId="0" borderId="0" xfId="1" applyFont="1" applyFill="1" applyBorder="1" applyAlignment="1" applyProtection="1">
      <alignment horizontal="center" vertical="center" wrapText="1"/>
    </xf>
    <xf numFmtId="165" fontId="0" fillId="0" borderId="0" xfId="0" applyNumberFormat="1" applyAlignment="1">
      <alignment horizontal="center" vertical="center" wrapText="1"/>
    </xf>
    <xf numFmtId="4" fontId="0" fillId="0" borderId="0" xfId="0" applyNumberFormat="1" applyAlignment="1">
      <alignment horizontal="center" vertical="center" wrapText="1"/>
    </xf>
    <xf numFmtId="2" fontId="23" fillId="0" borderId="0" xfId="0" applyNumberFormat="1" applyFont="1" applyAlignment="1">
      <alignment horizontal="center" vertical="center" wrapText="1"/>
    </xf>
    <xf numFmtId="0" fontId="23" fillId="0" borderId="0" xfId="0" applyFont="1" applyAlignment="1">
      <alignment horizontal="center" vertical="center" wrapText="1"/>
    </xf>
    <xf numFmtId="0" fontId="23" fillId="12" borderId="0" xfId="0" applyFont="1" applyFill="1" applyAlignment="1">
      <alignment horizontal="center" vertical="center" wrapText="1"/>
    </xf>
    <xf numFmtId="0" fontId="16" fillId="16" borderId="2" xfId="0" applyFont="1" applyFill="1" applyBorder="1" applyAlignment="1">
      <alignment horizontal="center" vertical="center" wrapText="1"/>
    </xf>
    <xf numFmtId="0" fontId="17" fillId="16" borderId="2" xfId="0" applyFont="1" applyFill="1" applyBorder="1" applyAlignment="1">
      <alignment horizontal="center" vertical="center" wrapText="1"/>
    </xf>
    <xf numFmtId="0" fontId="37" fillId="16" borderId="2" xfId="0" applyFont="1" applyFill="1" applyBorder="1" applyAlignment="1">
      <alignment horizontal="center" vertical="center" wrapText="1"/>
    </xf>
    <xf numFmtId="0" fontId="23" fillId="0" borderId="13" xfId="0" applyFont="1" applyBorder="1" applyAlignment="1">
      <alignment horizontal="center" vertical="center" wrapText="1"/>
    </xf>
    <xf numFmtId="0" fontId="1" fillId="3"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3" fillId="2" borderId="3" xfId="0" applyFont="1" applyFill="1" applyBorder="1" applyAlignment="1">
      <alignment vertical="center" wrapText="1"/>
    </xf>
    <xf numFmtId="0" fontId="3" fillId="2" borderId="3"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3" fillId="0" borderId="3" xfId="0" applyFont="1" applyBorder="1" applyAlignment="1" applyProtection="1">
      <alignment horizontal="center" vertical="center"/>
      <protection hidden="1"/>
    </xf>
    <xf numFmtId="0" fontId="1" fillId="0" borderId="2" xfId="0" applyFont="1" applyBorder="1" applyAlignment="1">
      <alignment horizontal="left" vertical="center" wrapText="1" indent="2"/>
    </xf>
    <xf numFmtId="0" fontId="3" fillId="0" borderId="2" xfId="0" applyFont="1" applyBorder="1" applyAlignment="1">
      <alignment horizontal="center" vertical="center"/>
    </xf>
    <xf numFmtId="0" fontId="1" fillId="0" borderId="2" xfId="0" applyFont="1" applyBorder="1" applyAlignment="1">
      <alignment horizontal="right" vertical="center"/>
    </xf>
    <xf numFmtId="0" fontId="0" fillId="0" borderId="20" xfId="0" applyBorder="1"/>
    <xf numFmtId="0" fontId="0" fillId="0" borderId="31" xfId="0" applyBorder="1"/>
    <xf numFmtId="0" fontId="0" fillId="0" borderId="32" xfId="0" applyBorder="1"/>
    <xf numFmtId="0" fontId="0" fillId="0" borderId="33" xfId="0" applyBorder="1"/>
    <xf numFmtId="0" fontId="0" fillId="0" borderId="34" xfId="0" applyBorder="1"/>
    <xf numFmtId="0" fontId="45" fillId="0" borderId="34" xfId="0" applyFont="1" applyBorder="1"/>
    <xf numFmtId="0" fontId="1" fillId="0" borderId="19" xfId="0" applyFont="1" applyBorder="1"/>
    <xf numFmtId="0" fontId="26" fillId="0" borderId="0" xfId="0" applyFont="1"/>
    <xf numFmtId="0" fontId="52" fillId="0" borderId="22" xfId="0" applyFont="1" applyBorder="1" applyAlignment="1">
      <alignment horizontal="center"/>
    </xf>
    <xf numFmtId="0" fontId="52" fillId="0" borderId="0" xfId="0" applyFont="1" applyAlignment="1">
      <alignment horizontal="center"/>
    </xf>
    <xf numFmtId="0" fontId="0" fillId="12" borderId="20" xfId="0" applyFill="1" applyBorder="1"/>
    <xf numFmtId="0" fontId="0" fillId="12" borderId="27" xfId="0" applyFill="1" applyBorder="1"/>
    <xf numFmtId="0" fontId="0" fillId="12" borderId="35" xfId="0" applyFill="1" applyBorder="1"/>
    <xf numFmtId="0" fontId="0" fillId="12" borderId="19" xfId="0" applyFill="1" applyBorder="1"/>
    <xf numFmtId="0" fontId="0" fillId="12" borderId="0" xfId="0" applyFill="1"/>
    <xf numFmtId="0" fontId="0" fillId="12" borderId="33" xfId="0" applyFill="1" applyBorder="1"/>
    <xf numFmtId="0" fontId="1" fillId="12" borderId="0" xfId="0" applyFont="1" applyFill="1"/>
    <xf numFmtId="0" fontId="0" fillId="12" borderId="23" xfId="0" applyFill="1" applyBorder="1"/>
    <xf numFmtId="0" fontId="0" fillId="12" borderId="28" xfId="0" applyFill="1" applyBorder="1"/>
    <xf numFmtId="0" fontId="52" fillId="12" borderId="33" xfId="0" applyFont="1" applyFill="1" applyBorder="1" applyAlignment="1">
      <alignment horizontal="center"/>
    </xf>
    <xf numFmtId="0" fontId="0" fillId="15" borderId="27" xfId="0" applyFill="1" applyBorder="1"/>
    <xf numFmtId="0" fontId="0" fillId="15" borderId="21" xfId="0" applyFill="1" applyBorder="1"/>
    <xf numFmtId="0" fontId="0" fillId="15" borderId="0" xfId="0" applyFill="1"/>
    <xf numFmtId="0" fontId="0" fillId="15" borderId="22" xfId="0" applyFill="1" applyBorder="1"/>
    <xf numFmtId="0" fontId="1" fillId="15" borderId="0" xfId="0" applyFont="1" applyFill="1"/>
    <xf numFmtId="0" fontId="0" fillId="15" borderId="28" xfId="0" applyFill="1" applyBorder="1"/>
    <xf numFmtId="0" fontId="52" fillId="15" borderId="0" xfId="0" applyFont="1" applyFill="1" applyAlignment="1">
      <alignment horizontal="center"/>
    </xf>
    <xf numFmtId="0" fontId="0" fillId="15" borderId="24" xfId="0" applyFill="1" applyBorder="1"/>
    <xf numFmtId="0" fontId="4" fillId="12" borderId="0" xfId="0" applyFont="1" applyFill="1" applyAlignment="1">
      <alignment horizontal="left"/>
    </xf>
    <xf numFmtId="0" fontId="4" fillId="12" borderId="19" xfId="0" applyFont="1" applyFill="1" applyBorder="1"/>
    <xf numFmtId="0" fontId="29" fillId="0" borderId="0" xfId="0" applyFont="1"/>
    <xf numFmtId="0" fontId="53" fillId="0" borderId="0" xfId="0" applyFont="1" applyAlignment="1">
      <alignment vertical="center"/>
    </xf>
    <xf numFmtId="0" fontId="54" fillId="0" borderId="0" xfId="0" applyFont="1" applyAlignment="1">
      <alignment vertical="center"/>
    </xf>
    <xf numFmtId="0" fontId="55" fillId="0" borderId="0" xfId="0" applyFont="1" applyAlignment="1">
      <alignment vertical="center"/>
    </xf>
    <xf numFmtId="0" fontId="3" fillId="15" borderId="0" xfId="0" applyFont="1" applyFill="1"/>
    <xf numFmtId="0" fontId="1" fillId="12" borderId="33" xfId="0" applyFont="1" applyFill="1" applyBorder="1"/>
    <xf numFmtId="0" fontId="0" fillId="0" borderId="36" xfId="0" applyBorder="1"/>
    <xf numFmtId="0" fontId="0" fillId="0" borderId="37" xfId="0" applyBorder="1"/>
    <xf numFmtId="0" fontId="1" fillId="0" borderId="0" xfId="0" applyFont="1" applyAlignment="1">
      <alignment horizontal="right"/>
    </xf>
    <xf numFmtId="0" fontId="0" fillId="0" borderId="38" xfId="0" applyBorder="1"/>
    <xf numFmtId="0" fontId="0" fillId="0" borderId="1" xfId="0" applyBorder="1"/>
    <xf numFmtId="0" fontId="0" fillId="0" borderId="1" xfId="0" applyBorder="1" applyAlignment="1">
      <alignment horizontal="right"/>
    </xf>
    <xf numFmtId="0" fontId="0" fillId="0" borderId="40" xfId="0" applyBorder="1"/>
    <xf numFmtId="0" fontId="1" fillId="4" borderId="2" xfId="0" applyFont="1" applyFill="1" applyBorder="1" applyAlignment="1" applyProtection="1">
      <alignment horizontal="right" vertical="center" wrapText="1"/>
      <protection locked="0"/>
    </xf>
    <xf numFmtId="0" fontId="0" fillId="4" borderId="2" xfId="0" applyFill="1" applyBorder="1" applyAlignment="1" applyProtection="1">
      <alignment horizontal="right" vertical="center" wrapText="1"/>
      <protection locked="0"/>
    </xf>
    <xf numFmtId="167" fontId="0" fillId="4" borderId="2" xfId="1" applyNumberFormat="1" applyFont="1" applyFill="1" applyBorder="1" applyAlignment="1" applyProtection="1">
      <alignment horizontal="center" vertical="center" wrapText="1"/>
      <protection locked="0"/>
    </xf>
    <xf numFmtId="168" fontId="0" fillId="0" borderId="0" xfId="0" applyNumberFormat="1"/>
    <xf numFmtId="1" fontId="0" fillId="0" borderId="0" xfId="1" applyNumberFormat="1" applyFont="1" applyAlignment="1">
      <alignment horizontal="center" vertical="center"/>
    </xf>
    <xf numFmtId="0" fontId="1" fillId="0" borderId="0" xfId="0" applyFont="1" applyAlignment="1">
      <alignment horizontal="center" vertical="center" wrapText="1"/>
    </xf>
    <xf numFmtId="0" fontId="6" fillId="0" borderId="0" xfId="0" applyFont="1" applyAlignment="1">
      <alignment horizontal="center" vertical="center"/>
    </xf>
    <xf numFmtId="0" fontId="56" fillId="0" borderId="0" xfId="0" applyFont="1" applyAlignment="1">
      <alignment horizontal="center" vertical="center" wrapText="1"/>
    </xf>
    <xf numFmtId="0" fontId="57" fillId="0" borderId="0" xfId="0" applyFont="1" applyAlignment="1">
      <alignment horizontal="center" vertical="center"/>
    </xf>
    <xf numFmtId="0" fontId="26" fillId="0" borderId="2" xfId="0" applyFont="1" applyBorder="1" applyAlignment="1">
      <alignment horizontal="center" vertical="top" wrapText="1"/>
    </xf>
    <xf numFmtId="0" fontId="1" fillId="0" borderId="2" xfId="0" applyFont="1" applyBorder="1" applyAlignment="1">
      <alignment horizontal="center" vertical="center"/>
    </xf>
    <xf numFmtId="0" fontId="8" fillId="0" borderId="2" xfId="0" applyFont="1" applyBorder="1" applyAlignment="1">
      <alignment horizontal="center" vertical="center" wrapText="1"/>
    </xf>
    <xf numFmtId="2" fontId="8" fillId="0" borderId="2" xfId="0" applyNumberFormat="1" applyFont="1" applyBorder="1" applyAlignment="1">
      <alignment horizontal="center" vertical="center" wrapText="1"/>
    </xf>
    <xf numFmtId="0" fontId="8" fillId="0" borderId="2" xfId="0" applyFont="1" applyBorder="1" applyAlignment="1">
      <alignment horizontal="center" vertical="center"/>
    </xf>
    <xf numFmtId="9" fontId="8" fillId="0" borderId="2" xfId="1" applyFont="1" applyBorder="1" applyAlignment="1">
      <alignment horizontal="center" vertical="center" wrapText="1"/>
    </xf>
    <xf numFmtId="0" fontId="8" fillId="0" borderId="2" xfId="0" applyFont="1" applyBorder="1" applyAlignment="1">
      <alignment horizontal="center" vertical="top" wrapText="1"/>
    </xf>
    <xf numFmtId="0" fontId="0" fillId="0" borderId="0" xfId="0" applyAlignment="1">
      <alignment horizontal="left"/>
    </xf>
    <xf numFmtId="0" fontId="21" fillId="6"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58" fillId="0" borderId="2" xfId="0" applyFont="1" applyBorder="1" applyAlignment="1" applyProtection="1">
      <alignment horizontal="right" vertical="center" wrapText="1"/>
      <protection hidden="1"/>
    </xf>
    <xf numFmtId="1" fontId="0" fillId="4" borderId="41" xfId="0" applyNumberFormat="1" applyFill="1" applyBorder="1" applyAlignment="1" applyProtection="1">
      <alignment horizontal="center" vertical="center"/>
      <protection locked="0"/>
    </xf>
    <xf numFmtId="165" fontId="0" fillId="4" borderId="41" xfId="0" applyNumberFormat="1" applyFill="1" applyBorder="1" applyAlignment="1" applyProtection="1">
      <alignment horizontal="center" vertical="center"/>
      <protection locked="0"/>
    </xf>
    <xf numFmtId="0" fontId="4" fillId="0" borderId="0" xfId="0" applyFont="1" applyAlignment="1" applyProtection="1">
      <alignment horizontal="left"/>
      <protection hidden="1"/>
    </xf>
    <xf numFmtId="0" fontId="10" fillId="0" borderId="19" xfId="0" applyFont="1" applyBorder="1" applyProtection="1">
      <protection hidden="1"/>
    </xf>
    <xf numFmtId="0" fontId="10" fillId="0" borderId="0" xfId="0" applyFont="1" applyProtection="1">
      <protection hidden="1"/>
    </xf>
    <xf numFmtId="0" fontId="10" fillId="0" borderId="22" xfId="0" applyFont="1" applyBorder="1" applyProtection="1">
      <protection hidden="1"/>
    </xf>
    <xf numFmtId="0" fontId="10" fillId="0" borderId="0" xfId="0" applyFont="1" applyAlignment="1" applyProtection="1">
      <alignment vertical="center" wrapText="1"/>
      <protection hidden="1"/>
    </xf>
    <xf numFmtId="0" fontId="0" fillId="0" borderId="0" xfId="0" applyProtection="1">
      <protection hidden="1"/>
    </xf>
    <xf numFmtId="0" fontId="36" fillId="0" borderId="11" xfId="0" applyFont="1" applyBorder="1" applyAlignment="1" applyProtection="1">
      <alignment vertical="center"/>
      <protection hidden="1"/>
    </xf>
    <xf numFmtId="0" fontId="36" fillId="0" borderId="5" xfId="0" applyFont="1" applyBorder="1" applyAlignment="1" applyProtection="1">
      <alignment vertical="center"/>
      <protection hidden="1"/>
    </xf>
    <xf numFmtId="0" fontId="10" fillId="0" borderId="6" xfId="0" applyFont="1" applyBorder="1" applyAlignment="1" applyProtection="1">
      <alignment vertical="center" wrapText="1"/>
      <protection hidden="1"/>
    </xf>
    <xf numFmtId="0" fontId="0" fillId="0" borderId="22" xfId="0" applyBorder="1" applyProtection="1">
      <protection hidden="1"/>
    </xf>
    <xf numFmtId="165" fontId="0" fillId="0" borderId="42" xfId="0" applyNumberFormat="1" applyBorder="1" applyAlignment="1" applyProtection="1">
      <alignment horizontal="center" vertical="center"/>
      <protection hidden="1"/>
    </xf>
    <xf numFmtId="0" fontId="1" fillId="0" borderId="0" xfId="0" applyFont="1" applyAlignment="1" applyProtection="1">
      <alignment vertical="center"/>
      <protection hidden="1"/>
    </xf>
    <xf numFmtId="0" fontId="4" fillId="0" borderId="0" xfId="0" applyFont="1" applyAlignment="1" applyProtection="1">
      <alignment horizontal="left" vertical="center"/>
      <protection hidden="1"/>
    </xf>
    <xf numFmtId="0" fontId="10" fillId="0" borderId="0" xfId="0" applyFont="1" applyAlignment="1" applyProtection="1">
      <alignment vertical="center"/>
      <protection hidden="1"/>
    </xf>
    <xf numFmtId="168" fontId="35" fillId="0" borderId="0" xfId="0" applyNumberFormat="1" applyFont="1" applyAlignment="1" applyProtection="1">
      <alignment horizontal="center" vertical="center"/>
      <protection hidden="1"/>
    </xf>
    <xf numFmtId="1" fontId="0" fillId="0" borderId="43" xfId="0" applyNumberFormat="1" applyBorder="1" applyAlignment="1" applyProtection="1">
      <alignment horizontal="center" vertical="center"/>
      <protection hidden="1"/>
    </xf>
    <xf numFmtId="0" fontId="1" fillId="0" borderId="28" xfId="0" applyFont="1" applyBorder="1" applyAlignment="1" applyProtection="1">
      <alignment vertical="center"/>
      <protection hidden="1"/>
    </xf>
    <xf numFmtId="0" fontId="4" fillId="0" borderId="28" xfId="0" applyFont="1" applyBorder="1" applyAlignment="1" applyProtection="1">
      <alignment horizontal="left" vertical="center"/>
      <protection hidden="1"/>
    </xf>
    <xf numFmtId="0" fontId="0" fillId="0" borderId="28" xfId="0" applyBorder="1" applyAlignment="1" applyProtection="1">
      <alignment vertical="center"/>
      <protection hidden="1"/>
    </xf>
    <xf numFmtId="0" fontId="0" fillId="0" borderId="24" xfId="0" applyBorder="1" applyProtection="1">
      <protection hidden="1"/>
    </xf>
    <xf numFmtId="0" fontId="35" fillId="0" borderId="0" xfId="2" applyFont="1" applyFill="1" applyProtection="1">
      <protection hidden="1"/>
    </xf>
    <xf numFmtId="0" fontId="7" fillId="0" borderId="0" xfId="0" applyFont="1" applyProtection="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0" fillId="0" borderId="0" xfId="0" applyAlignment="1" applyProtection="1">
      <alignment horizontal="right"/>
      <protection hidden="1"/>
    </xf>
    <xf numFmtId="0" fontId="0" fillId="0" borderId="0" xfId="0" applyAlignment="1" applyProtection="1">
      <alignment horizontal="left" vertical="center" wrapText="1"/>
      <protection hidden="1"/>
    </xf>
    <xf numFmtId="0" fontId="1" fillId="0" borderId="0" xfId="0" applyFont="1" applyProtection="1">
      <protection hidden="1"/>
    </xf>
    <xf numFmtId="0" fontId="3" fillId="2" borderId="0" xfId="0" applyFont="1" applyFill="1" applyAlignment="1" applyProtection="1">
      <alignment vertical="center"/>
      <protection hidden="1"/>
    </xf>
    <xf numFmtId="0" fontId="1" fillId="2" borderId="0" xfId="0" applyFont="1" applyFill="1" applyProtection="1">
      <protection hidden="1"/>
    </xf>
    <xf numFmtId="0" fontId="4" fillId="2" borderId="0" xfId="0" applyFont="1" applyFill="1" applyAlignment="1" applyProtection="1">
      <alignment horizontal="left"/>
      <protection hidden="1"/>
    </xf>
    <xf numFmtId="0" fontId="0" fillId="2" borderId="0" xfId="0" applyFill="1" applyProtection="1">
      <protection hidden="1"/>
    </xf>
    <xf numFmtId="0" fontId="3" fillId="0" borderId="0" xfId="0" applyFont="1" applyAlignment="1" applyProtection="1">
      <alignment horizontal="center"/>
      <protection hidden="1"/>
    </xf>
    <xf numFmtId="0" fontId="1" fillId="0" borderId="0" xfId="0" applyFont="1" applyAlignment="1" applyProtection="1">
      <alignment horizontal="left" indent="1"/>
      <protection hidden="1"/>
    </xf>
    <xf numFmtId="0" fontId="3" fillId="0" borderId="20" xfId="0" applyFont="1" applyBorder="1" applyProtection="1">
      <protection hidden="1"/>
    </xf>
    <xf numFmtId="0" fontId="0" fillId="0" borderId="27" xfId="0" applyBorder="1" applyProtection="1">
      <protection hidden="1"/>
    </xf>
    <xf numFmtId="0" fontId="0" fillId="0" borderId="27" xfId="0" applyBorder="1" applyAlignment="1" applyProtection="1">
      <alignment horizontal="center"/>
      <protection hidden="1"/>
    </xf>
    <xf numFmtId="0" fontId="0" fillId="0" borderId="21" xfId="0" applyBorder="1" applyProtection="1">
      <protection hidden="1"/>
    </xf>
    <xf numFmtId="0" fontId="1" fillId="0" borderId="13" xfId="0" applyFont="1" applyBorder="1" applyAlignment="1" applyProtection="1">
      <alignment horizontal="left" indent="1"/>
      <protection hidden="1"/>
    </xf>
    <xf numFmtId="0" fontId="3" fillId="0" borderId="19" xfId="0" applyFont="1" applyBorder="1" applyProtection="1">
      <protection hidden="1"/>
    </xf>
    <xf numFmtId="0" fontId="0" fillId="0" borderId="0" xfId="0" applyAlignment="1" applyProtection="1">
      <alignment horizontal="center"/>
      <protection hidden="1"/>
    </xf>
    <xf numFmtId="0" fontId="1" fillId="0" borderId="0" xfId="0" applyFont="1" applyAlignment="1" applyProtection="1">
      <alignment horizontal="center"/>
      <protection hidden="1"/>
    </xf>
    <xf numFmtId="0" fontId="16" fillId="0" borderId="15" xfId="0" applyFont="1" applyBorder="1" applyAlignment="1" applyProtection="1">
      <alignment horizontal="left" indent="1"/>
      <protection hidden="1"/>
    </xf>
    <xf numFmtId="0" fontId="1" fillId="0" borderId="15" xfId="0" applyFont="1" applyBorder="1" applyProtection="1">
      <protection hidden="1"/>
    </xf>
    <xf numFmtId="0" fontId="0" fillId="0" borderId="19" xfId="0" applyBorder="1" applyProtection="1">
      <protection hidden="1"/>
    </xf>
    <xf numFmtId="0" fontId="17" fillId="0" borderId="15" xfId="0" applyFont="1" applyBorder="1" applyAlignment="1" applyProtection="1">
      <alignment horizontal="left" indent="1"/>
      <protection hidden="1"/>
    </xf>
    <xf numFmtId="0" fontId="0" fillId="0" borderId="23" xfId="0" applyBorder="1" applyProtection="1">
      <protection hidden="1"/>
    </xf>
    <xf numFmtId="0" fontId="0" fillId="0" borderId="28" xfId="0" applyBorder="1" applyProtection="1">
      <protection hidden="1"/>
    </xf>
    <xf numFmtId="0" fontId="0" fillId="0" borderId="28" xfId="0" applyBorder="1" applyAlignment="1" applyProtection="1">
      <alignment horizontal="center"/>
      <protection hidden="1"/>
    </xf>
    <xf numFmtId="0" fontId="3" fillId="8" borderId="20" xfId="0" applyFont="1" applyFill="1" applyBorder="1" applyProtection="1">
      <protection hidden="1"/>
    </xf>
    <xf numFmtId="0" fontId="0" fillId="8" borderId="27" xfId="0" applyFill="1" applyBorder="1" applyProtection="1">
      <protection hidden="1"/>
    </xf>
    <xf numFmtId="0" fontId="0" fillId="8" borderId="27" xfId="0" applyFill="1" applyBorder="1" applyAlignment="1" applyProtection="1">
      <alignment horizontal="center"/>
      <protection hidden="1"/>
    </xf>
    <xf numFmtId="0" fontId="0" fillId="8" borderId="21" xfId="0" applyFill="1" applyBorder="1" applyProtection="1">
      <protection hidden="1"/>
    </xf>
    <xf numFmtId="0" fontId="3" fillId="8" borderId="19" xfId="0" applyFont="1" applyFill="1" applyBorder="1" applyProtection="1">
      <protection hidden="1"/>
    </xf>
    <xf numFmtId="0" fontId="0" fillId="8" borderId="0" xfId="0" applyFill="1" applyProtection="1">
      <protection hidden="1"/>
    </xf>
    <xf numFmtId="0" fontId="0" fillId="8" borderId="0" xfId="0" applyFill="1" applyAlignment="1" applyProtection="1">
      <alignment horizontal="center"/>
      <protection hidden="1"/>
    </xf>
    <xf numFmtId="0" fontId="0" fillId="8" borderId="22" xfId="0" applyFill="1" applyBorder="1" applyProtection="1">
      <protection hidden="1"/>
    </xf>
    <xf numFmtId="0" fontId="0" fillId="8" borderId="19" xfId="0" applyFill="1" applyBorder="1" applyProtection="1">
      <protection hidden="1"/>
    </xf>
    <xf numFmtId="0" fontId="1" fillId="8" borderId="0" xfId="0" applyFont="1" applyFill="1" applyAlignment="1" applyProtection="1">
      <alignment horizontal="right"/>
      <protection hidden="1"/>
    </xf>
    <xf numFmtId="166" fontId="16" fillId="8" borderId="22" xfId="0" applyNumberFormat="1" applyFont="1" applyFill="1" applyBorder="1" applyProtection="1">
      <protection hidden="1"/>
    </xf>
    <xf numFmtId="0" fontId="31" fillId="0" borderId="15" xfId="0" applyFont="1" applyBorder="1" applyAlignment="1" applyProtection="1">
      <alignment horizontal="left" indent="1"/>
      <protection hidden="1"/>
    </xf>
    <xf numFmtId="166" fontId="17" fillId="8" borderId="22" xfId="0" applyNumberFormat="1" applyFont="1" applyFill="1" applyBorder="1" applyProtection="1">
      <protection hidden="1"/>
    </xf>
    <xf numFmtId="4" fontId="31" fillId="0" borderId="0" xfId="0" applyNumberFormat="1" applyFont="1" applyAlignment="1" applyProtection="1">
      <alignment horizontal="right" vertical="center"/>
      <protection hidden="1"/>
    </xf>
    <xf numFmtId="0" fontId="31" fillId="0" borderId="0" xfId="0" applyFont="1" applyAlignment="1" applyProtection="1">
      <alignment horizontal="left" indent="1"/>
      <protection hidden="1"/>
    </xf>
    <xf numFmtId="166" fontId="31" fillId="8" borderId="22" xfId="0" applyNumberFormat="1" applyFont="1" applyFill="1" applyBorder="1" applyProtection="1">
      <protection hidden="1"/>
    </xf>
    <xf numFmtId="4" fontId="3" fillId="0" borderId="0" xfId="0" applyNumberFormat="1" applyFont="1" applyAlignment="1" applyProtection="1">
      <alignment horizontal="left" vertical="center"/>
      <protection hidden="1"/>
    </xf>
    <xf numFmtId="0" fontId="0" fillId="8" borderId="23" xfId="0" applyFill="1" applyBorder="1" applyProtection="1">
      <protection hidden="1"/>
    </xf>
    <xf numFmtId="0" fontId="0" fillId="8" borderId="28" xfId="0" applyFill="1" applyBorder="1" applyProtection="1">
      <protection hidden="1"/>
    </xf>
    <xf numFmtId="0" fontId="0" fillId="8" borderId="28" xfId="0" applyFill="1" applyBorder="1" applyAlignment="1" applyProtection="1">
      <alignment horizontal="center"/>
      <protection hidden="1"/>
    </xf>
    <xf numFmtId="0" fontId="0" fillId="8" borderId="24" xfId="0" applyFill="1" applyBorder="1" applyProtection="1">
      <protection hidden="1"/>
    </xf>
    <xf numFmtId="0" fontId="2" fillId="0" borderId="0" xfId="0" applyFont="1" applyProtection="1">
      <protection hidden="1"/>
    </xf>
    <xf numFmtId="0" fontId="37" fillId="0" borderId="2"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0" fillId="0" borderId="0" xfId="0" applyAlignment="1" applyProtection="1">
      <alignment horizontal="center" vertical="center"/>
      <protection hidden="1"/>
    </xf>
    <xf numFmtId="168" fontId="16" fillId="0" borderId="4" xfId="0" applyNumberFormat="1" applyFont="1" applyBorder="1" applyAlignment="1" applyProtection="1">
      <alignment horizontal="right" vertical="center"/>
      <protection hidden="1"/>
    </xf>
    <xf numFmtId="0" fontId="61" fillId="2" borderId="2" xfId="0" applyFont="1" applyFill="1" applyBorder="1" applyAlignment="1">
      <alignment horizontal="center" vertical="center" wrapText="1"/>
    </xf>
    <xf numFmtId="0" fontId="62" fillId="0" borderId="0" xfId="0" applyFont="1" applyAlignment="1">
      <alignment horizontal="left" vertical="center"/>
    </xf>
    <xf numFmtId="166" fontId="23" fillId="0" borderId="2" xfId="0" applyNumberFormat="1" applyFont="1" applyBorder="1" applyAlignment="1" applyProtection="1">
      <alignment horizontal="center" vertical="center" wrapText="1"/>
      <protection hidden="1"/>
    </xf>
    <xf numFmtId="0" fontId="0" fillId="0" borderId="44" xfId="0" applyBorder="1" applyProtection="1">
      <protection locked="0"/>
    </xf>
    <xf numFmtId="0" fontId="63" fillId="0" borderId="2" xfId="0" applyFont="1" applyBorder="1" applyAlignment="1">
      <alignment horizontal="center" vertical="center" wrapText="1"/>
    </xf>
    <xf numFmtId="0" fontId="63" fillId="0" borderId="2" xfId="0" applyFont="1" applyBorder="1" applyAlignment="1">
      <alignment horizontal="center" vertical="top" wrapText="1"/>
    </xf>
    <xf numFmtId="165" fontId="64" fillId="0" borderId="2" xfId="0" applyNumberFormat="1" applyFont="1" applyBorder="1" applyAlignment="1">
      <alignment horizontal="center" vertical="center" wrapText="1"/>
    </xf>
    <xf numFmtId="0" fontId="64" fillId="0" borderId="2" xfId="0" applyFont="1" applyBorder="1" applyAlignment="1">
      <alignment horizontal="center" vertical="center" wrapText="1"/>
    </xf>
    <xf numFmtId="2" fontId="22" fillId="17" borderId="2" xfId="0" applyNumberFormat="1" applyFont="1" applyFill="1" applyBorder="1" applyAlignment="1">
      <alignment horizontal="center" vertical="center" wrapText="1"/>
    </xf>
    <xf numFmtId="0" fontId="1" fillId="0" borderId="25" xfId="0" applyFont="1" applyBorder="1" applyAlignment="1">
      <alignment vertical="center" wrapText="1"/>
    </xf>
    <xf numFmtId="0" fontId="1" fillId="0" borderId="26" xfId="0" applyFont="1" applyBorder="1" applyAlignment="1">
      <alignment vertical="center" wrapText="1"/>
    </xf>
    <xf numFmtId="166" fontId="34" fillId="0" borderId="6" xfId="0" applyNumberFormat="1" applyFont="1" applyBorder="1" applyAlignment="1">
      <alignment horizontal="center" vertical="center"/>
    </xf>
    <xf numFmtId="166" fontId="34" fillId="0" borderId="2" xfId="0" applyNumberFormat="1" applyFont="1" applyBorder="1" applyAlignment="1">
      <alignment horizontal="center" vertical="center"/>
    </xf>
    <xf numFmtId="0" fontId="40" fillId="12" borderId="2" xfId="0" applyFont="1" applyFill="1" applyBorder="1" applyAlignment="1">
      <alignment horizontal="center" vertical="center"/>
    </xf>
    <xf numFmtId="0" fontId="1" fillId="0" borderId="25" xfId="0" applyFont="1" applyBorder="1" applyAlignment="1">
      <alignment horizontal="center" vertical="center"/>
    </xf>
    <xf numFmtId="0" fontId="1" fillId="0" borderId="26" xfId="0" applyFont="1" applyBorder="1" applyAlignment="1">
      <alignment horizontal="center" vertical="center"/>
    </xf>
    <xf numFmtId="0" fontId="40" fillId="12" borderId="1" xfId="0" applyFont="1" applyFill="1" applyBorder="1" applyAlignment="1" applyProtection="1">
      <alignment horizontal="center" vertical="center"/>
      <protection hidden="1"/>
    </xf>
    <xf numFmtId="0" fontId="37" fillId="0" borderId="0" xfId="0" applyFont="1" applyAlignment="1" applyProtection="1">
      <alignment horizontal="right" vertical="center"/>
      <protection hidden="1"/>
    </xf>
    <xf numFmtId="0" fontId="37" fillId="0" borderId="11" xfId="0" applyFont="1" applyBorder="1" applyAlignment="1" applyProtection="1">
      <alignment horizontal="right" vertical="center"/>
      <protection hidden="1"/>
    </xf>
    <xf numFmtId="0" fontId="1" fillId="0" borderId="2" xfId="0" applyFont="1" applyBorder="1" applyAlignment="1" applyProtection="1">
      <alignment horizontal="right" vertical="center"/>
      <protection hidden="1"/>
    </xf>
    <xf numFmtId="0" fontId="1" fillId="0" borderId="2" xfId="0" applyFont="1" applyBorder="1" applyAlignment="1" applyProtection="1">
      <alignment horizontal="right"/>
      <protection hidden="1"/>
    </xf>
    <xf numFmtId="0" fontId="32" fillId="0" borderId="8" xfId="0" applyFont="1" applyBorder="1" applyAlignment="1" applyProtection="1">
      <alignment horizontal="left" vertical="center" wrapText="1"/>
      <protection hidden="1"/>
    </xf>
    <xf numFmtId="0" fontId="32" fillId="0" borderId="9" xfId="0" applyFont="1" applyBorder="1" applyAlignment="1" applyProtection="1">
      <alignment horizontal="left" vertical="center" wrapText="1"/>
      <protection hidden="1"/>
    </xf>
    <xf numFmtId="0" fontId="32" fillId="0" borderId="10" xfId="0" applyFont="1" applyBorder="1" applyAlignment="1" applyProtection="1">
      <alignment horizontal="left" vertical="center" wrapText="1"/>
      <protection hidden="1"/>
    </xf>
    <xf numFmtId="0" fontId="32" fillId="0" borderId="12" xfId="0" applyFont="1" applyBorder="1" applyAlignment="1" applyProtection="1">
      <alignment horizontal="left" vertical="center" wrapText="1"/>
      <protection hidden="1"/>
    </xf>
    <xf numFmtId="0" fontId="32" fillId="0" borderId="13" xfId="0" applyFont="1" applyBorder="1" applyAlignment="1" applyProtection="1">
      <alignment horizontal="left" vertical="center" wrapText="1"/>
      <protection hidden="1"/>
    </xf>
    <xf numFmtId="0" fontId="32" fillId="0" borderId="14" xfId="0" applyFont="1" applyBorder="1" applyAlignment="1" applyProtection="1">
      <alignment horizontal="left" vertical="center" wrapText="1"/>
      <protection hidden="1"/>
    </xf>
    <xf numFmtId="0" fontId="1" fillId="4" borderId="8" xfId="0" applyFont="1" applyFill="1" applyBorder="1" applyAlignment="1" applyProtection="1">
      <alignment horizontal="center" vertical="center" wrapText="1"/>
      <protection locked="0"/>
    </xf>
    <xf numFmtId="0" fontId="0" fillId="4" borderId="9" xfId="0" applyFill="1" applyBorder="1" applyAlignment="1" applyProtection="1">
      <alignment horizontal="center" vertical="center" wrapText="1"/>
      <protection locked="0"/>
    </xf>
    <xf numFmtId="0" fontId="0" fillId="4" borderId="10" xfId="0" applyFill="1" applyBorder="1" applyAlignment="1" applyProtection="1">
      <alignment horizontal="center" vertical="center" wrapText="1"/>
      <protection locked="0"/>
    </xf>
    <xf numFmtId="0" fontId="0" fillId="4" borderId="7" xfId="0" applyFill="1" applyBorder="1" applyAlignment="1" applyProtection="1">
      <alignment horizontal="center" vertical="center" wrapText="1"/>
      <protection locked="0"/>
    </xf>
    <xf numFmtId="0" fontId="0" fillId="4" borderId="0" xfId="0" applyFill="1" applyAlignment="1" applyProtection="1">
      <alignment horizontal="center" vertical="center" wrapText="1"/>
      <protection locked="0"/>
    </xf>
    <xf numFmtId="0" fontId="0" fillId="4" borderId="11" xfId="0" applyFill="1" applyBorder="1" applyAlignment="1" applyProtection="1">
      <alignment horizontal="center" vertical="center" wrapText="1"/>
      <protection locked="0"/>
    </xf>
    <xf numFmtId="0" fontId="0" fillId="4" borderId="12" xfId="0" applyFill="1" applyBorder="1" applyAlignment="1" applyProtection="1">
      <alignment horizontal="center" vertical="center" wrapText="1"/>
      <protection locked="0"/>
    </xf>
    <xf numFmtId="0" fontId="0" fillId="4" borderId="13" xfId="0" applyFill="1" applyBorder="1" applyAlignment="1" applyProtection="1">
      <alignment horizontal="center" vertical="center" wrapText="1"/>
      <protection locked="0"/>
    </xf>
    <xf numFmtId="0" fontId="0" fillId="4" borderId="14" xfId="0" applyFill="1" applyBorder="1" applyAlignment="1" applyProtection="1">
      <alignment horizontal="center" vertical="center" wrapText="1"/>
      <protection locked="0"/>
    </xf>
    <xf numFmtId="0" fontId="3" fillId="12" borderId="20" xfId="0" applyFont="1" applyFill="1" applyBorder="1" applyAlignment="1" applyProtection="1">
      <alignment horizontal="left" vertical="center"/>
      <protection hidden="1"/>
    </xf>
    <xf numFmtId="0" fontId="3" fillId="12" borderId="27" xfId="0" applyFont="1" applyFill="1" applyBorder="1" applyAlignment="1" applyProtection="1">
      <alignment horizontal="left" vertical="center"/>
      <protection hidden="1"/>
    </xf>
    <xf numFmtId="0" fontId="3" fillId="12" borderId="21" xfId="0" applyFont="1" applyFill="1" applyBorder="1" applyAlignment="1" applyProtection="1">
      <alignment horizontal="left" vertical="center"/>
      <protection hidden="1"/>
    </xf>
    <xf numFmtId="0" fontId="1" fillId="0" borderId="0" xfId="0" applyFont="1" applyAlignment="1" applyProtection="1">
      <alignment horizontal="left"/>
      <protection hidden="1"/>
    </xf>
    <xf numFmtId="0" fontId="0" fillId="0" borderId="0" xfId="0" applyAlignment="1" applyProtection="1">
      <alignment horizontal="left"/>
      <protection hidden="1"/>
    </xf>
    <xf numFmtId="0" fontId="42" fillId="0" borderId="13" xfId="0" applyFont="1" applyBorder="1" applyAlignment="1" applyProtection="1">
      <alignment horizontal="center"/>
      <protection hidden="1"/>
    </xf>
    <xf numFmtId="0" fontId="4" fillId="0" borderId="19" xfId="0" applyFont="1" applyBorder="1" applyAlignment="1" applyProtection="1">
      <alignment horizontal="left"/>
      <protection hidden="1"/>
    </xf>
    <xf numFmtId="0" fontId="4" fillId="0" borderId="0" xfId="0" applyFont="1" applyAlignment="1" applyProtection="1">
      <alignment horizontal="left"/>
      <protection hidden="1"/>
    </xf>
    <xf numFmtId="0" fontId="4" fillId="0" borderId="22" xfId="0" applyFont="1" applyBorder="1" applyAlignment="1" applyProtection="1">
      <alignment horizontal="left"/>
      <protection hidden="1"/>
    </xf>
    <xf numFmtId="0" fontId="59" fillId="0" borderId="0" xfId="0" applyFont="1" applyAlignment="1" applyProtection="1">
      <alignment horizontal="left" vertical="center" wrapText="1"/>
      <protection hidden="1"/>
    </xf>
    <xf numFmtId="0" fontId="59" fillId="0" borderId="0" xfId="0" applyFont="1" applyAlignment="1" applyProtection="1">
      <alignment horizontal="left" vertical="center"/>
      <protection hidden="1"/>
    </xf>
    <xf numFmtId="0" fontId="59" fillId="0" borderId="22" xfId="0" applyFont="1" applyBorder="1" applyAlignment="1" applyProtection="1">
      <alignment horizontal="left" vertical="center"/>
      <protection hidden="1"/>
    </xf>
    <xf numFmtId="0" fontId="26" fillId="0" borderId="4" xfId="0" applyFont="1" applyBorder="1" applyAlignment="1">
      <alignment horizontal="center" vertical="center" wrapText="1"/>
    </xf>
    <xf numFmtId="0" fontId="26" fillId="0" borderId="6" xfId="0" applyFont="1" applyBorder="1" applyAlignment="1">
      <alignment horizontal="center" vertical="center" wrapText="1"/>
    </xf>
    <xf numFmtId="0" fontId="13" fillId="6" borderId="2" xfId="0" applyFont="1" applyFill="1" applyBorder="1" applyAlignment="1">
      <alignment horizontal="center" vertical="center"/>
    </xf>
    <xf numFmtId="0" fontId="13" fillId="5" borderId="2" xfId="0" applyFont="1" applyFill="1" applyBorder="1" applyAlignment="1">
      <alignment horizontal="center" vertical="center"/>
    </xf>
    <xf numFmtId="0" fontId="13" fillId="13" borderId="0" xfId="0" applyFont="1" applyFill="1" applyAlignment="1">
      <alignment horizontal="center" vertical="center"/>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44" fillId="12" borderId="12" xfId="0" applyFont="1" applyFill="1" applyBorder="1" applyAlignment="1">
      <alignment horizontal="left" vertical="center" wrapText="1" indent="1"/>
    </xf>
    <xf numFmtId="0" fontId="44" fillId="12" borderId="13" xfId="0" applyFont="1" applyFill="1" applyBorder="1" applyAlignment="1">
      <alignment horizontal="left" vertical="center" wrapText="1" indent="1"/>
    </xf>
    <xf numFmtId="0" fontId="40" fillId="12" borderId="13" xfId="0" applyFont="1" applyFill="1" applyBorder="1" applyAlignment="1">
      <alignment horizontal="left" vertical="center" indent="1"/>
    </xf>
    <xf numFmtId="0" fontId="1" fillId="4" borderId="29" xfId="0" applyFont="1" applyFill="1" applyBorder="1" applyAlignment="1" applyProtection="1">
      <alignment horizontal="center" vertical="center" wrapText="1"/>
      <protection locked="0"/>
    </xf>
    <xf numFmtId="0" fontId="1" fillId="4" borderId="30" xfId="0" applyFont="1" applyFill="1" applyBorder="1" applyAlignment="1" applyProtection="1">
      <alignment horizontal="center" vertical="center" wrapText="1"/>
      <protection locked="0"/>
    </xf>
    <xf numFmtId="0" fontId="23" fillId="0" borderId="3" xfId="0" applyFont="1" applyBorder="1" applyAlignment="1" applyProtection="1">
      <alignment horizontal="center" vertical="center"/>
      <protection hidden="1"/>
    </xf>
    <xf numFmtId="0" fontId="48" fillId="0" borderId="0" xfId="0" applyFont="1" applyAlignment="1">
      <alignment horizontal="left" vertical="center" wrapText="1"/>
    </xf>
    <xf numFmtId="0" fontId="51" fillId="12" borderId="1" xfId="0" applyFont="1" applyFill="1" applyBorder="1" applyAlignment="1">
      <alignment horizontal="center" vertical="center"/>
    </xf>
    <xf numFmtId="0" fontId="30" fillId="7" borderId="3" xfId="0" quotePrefix="1" applyFont="1" applyFill="1" applyBorder="1" applyAlignment="1">
      <alignment horizontal="center" vertical="center"/>
    </xf>
    <xf numFmtId="3" fontId="35" fillId="0" borderId="4" xfId="0" quotePrefix="1" applyNumberFormat="1" applyFont="1" applyBorder="1" applyAlignment="1" applyProtection="1">
      <alignment horizontal="left" vertical="center" wrapText="1"/>
      <protection hidden="1"/>
    </xf>
    <xf numFmtId="3" fontId="35" fillId="0" borderId="5" xfId="0" quotePrefix="1" applyNumberFormat="1" applyFont="1" applyBorder="1" applyAlignment="1" applyProtection="1">
      <alignment horizontal="left" vertical="center" wrapText="1"/>
      <protection hidden="1"/>
    </xf>
    <xf numFmtId="0" fontId="3" fillId="2" borderId="29"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1" fillId="12" borderId="0" xfId="0" applyFont="1" applyFill="1" applyAlignment="1">
      <alignment horizontal="center" vertical="center"/>
    </xf>
    <xf numFmtId="0" fontId="0" fillId="12" borderId="0" xfId="0" applyFill="1" applyAlignment="1">
      <alignment horizontal="center" vertic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169" fontId="0" fillId="0" borderId="4" xfId="0" applyNumberFormat="1" applyBorder="1" applyAlignment="1">
      <alignment horizontal="center"/>
    </xf>
    <xf numFmtId="169" fontId="0" fillId="0" borderId="5" xfId="0" applyNumberFormat="1" applyBorder="1" applyAlignment="1">
      <alignment horizontal="center"/>
    </xf>
    <xf numFmtId="169" fontId="0" fillId="0" borderId="6" xfId="0" applyNumberFormat="1" applyBorder="1" applyAlignment="1">
      <alignment horizontal="center"/>
    </xf>
    <xf numFmtId="169" fontId="16" fillId="0" borderId="4" xfId="0" applyNumberFormat="1" applyFont="1" applyBorder="1" applyAlignment="1">
      <alignment horizontal="center"/>
    </xf>
    <xf numFmtId="169" fontId="16" fillId="0" borderId="5" xfId="0" applyNumberFormat="1" applyFont="1" applyBorder="1" applyAlignment="1">
      <alignment horizontal="center"/>
    </xf>
    <xf numFmtId="169" fontId="16" fillId="0" borderId="6" xfId="0" applyNumberFormat="1" applyFont="1" applyBorder="1" applyAlignment="1">
      <alignment horizontal="center"/>
    </xf>
    <xf numFmtId="0" fontId="35" fillId="0" borderId="39" xfId="0" applyFont="1" applyBorder="1" applyAlignment="1">
      <alignment horizontal="center"/>
    </xf>
    <xf numFmtId="0" fontId="0" fillId="15" borderId="4" xfId="0" applyFill="1" applyBorder="1" applyAlignment="1">
      <alignment horizontal="center"/>
    </xf>
    <xf numFmtId="0" fontId="0" fillId="15" borderId="5" xfId="0" applyFill="1" applyBorder="1" applyAlignment="1">
      <alignment horizontal="center"/>
    </xf>
    <xf numFmtId="0" fontId="0" fillId="15" borderId="6" xfId="0" applyFill="1" applyBorder="1" applyAlignment="1">
      <alignment horizontal="center"/>
    </xf>
    <xf numFmtId="0" fontId="0" fillId="12" borderId="4" xfId="0" applyFill="1" applyBorder="1" applyAlignment="1">
      <alignment horizontal="center"/>
    </xf>
    <xf numFmtId="0" fontId="0" fillId="12" borderId="5" xfId="0" applyFill="1" applyBorder="1" applyAlignment="1">
      <alignment horizontal="center"/>
    </xf>
    <xf numFmtId="0" fontId="0" fillId="12" borderId="6" xfId="0" applyFill="1" applyBorder="1" applyAlignment="1">
      <alignment horizontal="center"/>
    </xf>
    <xf numFmtId="0" fontId="16" fillId="8" borderId="4" xfId="0" applyFont="1" applyFill="1" applyBorder="1" applyAlignment="1">
      <alignment horizontal="center"/>
    </xf>
    <xf numFmtId="0" fontId="16" fillId="8" borderId="5" xfId="0" applyFont="1" applyFill="1" applyBorder="1" applyAlignment="1">
      <alignment horizontal="center"/>
    </xf>
    <xf numFmtId="0" fontId="16" fillId="8" borderId="6" xfId="0" applyFont="1" applyFill="1" applyBorder="1" applyAlignment="1">
      <alignment horizontal="center"/>
    </xf>
    <xf numFmtId="0" fontId="0" fillId="0" borderId="39" xfId="0"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6" xfId="0" applyFont="1" applyBorder="1" applyAlignment="1">
      <alignment horizontal="center"/>
    </xf>
    <xf numFmtId="0" fontId="64" fillId="12" borderId="0" xfId="0" applyFont="1" applyFill="1" applyAlignment="1">
      <alignment horizontal="center" vertical="center"/>
    </xf>
    <xf numFmtId="0" fontId="29" fillId="0" borderId="21"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24" xfId="0" applyFont="1" applyBorder="1" applyAlignment="1">
      <alignment horizontal="center" vertical="center" wrapText="1"/>
    </xf>
    <xf numFmtId="0" fontId="13" fillId="5" borderId="0" xfId="0" applyFont="1" applyFill="1" applyAlignment="1">
      <alignment horizontal="center" vertical="center"/>
    </xf>
    <xf numFmtId="0" fontId="13" fillId="14" borderId="0" xfId="0" applyFont="1" applyFill="1" applyAlignment="1">
      <alignment horizontal="center" vertical="center"/>
    </xf>
    <xf numFmtId="0" fontId="35" fillId="15" borderId="4" xfId="0" applyFont="1" applyFill="1" applyBorder="1" applyAlignment="1">
      <alignment horizontal="center" vertical="center"/>
    </xf>
    <xf numFmtId="0" fontId="35" fillId="15" borderId="5" xfId="0" applyFont="1" applyFill="1" applyBorder="1" applyAlignment="1">
      <alignment horizontal="center" vertical="center"/>
    </xf>
    <xf numFmtId="0" fontId="35" fillId="15" borderId="6" xfId="0" applyFont="1" applyFill="1" applyBorder="1" applyAlignment="1">
      <alignment horizontal="center" vertical="center"/>
    </xf>
    <xf numFmtId="0" fontId="26" fillId="8" borderId="4" xfId="0" applyFont="1" applyFill="1" applyBorder="1" applyAlignment="1">
      <alignment horizontal="center" vertical="center"/>
    </xf>
    <xf numFmtId="0" fontId="26" fillId="8" borderId="5" xfId="0" applyFont="1" applyFill="1" applyBorder="1" applyAlignment="1">
      <alignment horizontal="center" vertical="center"/>
    </xf>
    <xf numFmtId="0" fontId="26" fillId="8" borderId="6" xfId="0" applyFont="1" applyFill="1" applyBorder="1" applyAlignment="1">
      <alignment horizontal="center" vertical="center"/>
    </xf>
  </cellXfs>
  <cellStyles count="3">
    <cellStyle name="Hyperlink" xfId="2" builtinId="8"/>
    <cellStyle name="Normal" xfId="0" builtinId="0"/>
    <cellStyle name="Percent" xfId="1" builtinId="5"/>
  </cellStyles>
  <dxfs count="34">
    <dxf>
      <font>
        <strike val="0"/>
        <color rgb="FF0070C0"/>
      </font>
    </dxf>
    <dxf>
      <font>
        <strike val="0"/>
        <color rgb="FF0070C0"/>
      </font>
    </dxf>
    <dxf>
      <font>
        <strike val="0"/>
        <color theme="1"/>
      </font>
    </dxf>
    <dxf>
      <font>
        <strike val="0"/>
        <color rgb="FFC00000"/>
      </font>
    </dxf>
    <dxf>
      <font>
        <b/>
        <i val="0"/>
        <strike val="0"/>
        <color theme="5" tint="-0.499984740745262"/>
      </font>
    </dxf>
    <dxf>
      <font>
        <b/>
        <i val="0"/>
        <strike val="0"/>
        <color theme="5" tint="-0.499984740745262"/>
      </font>
    </dxf>
    <dxf>
      <font>
        <strike val="0"/>
        <color rgb="FFC00000"/>
      </font>
    </dxf>
    <dxf>
      <font>
        <b/>
        <i val="0"/>
        <strike val="0"/>
        <color rgb="FF7030A0"/>
      </font>
    </dxf>
    <dxf>
      <font>
        <b/>
        <i val="0"/>
        <strike val="0"/>
        <color rgb="FF7030A0"/>
      </font>
    </dxf>
    <dxf>
      <font>
        <strike val="0"/>
        <color rgb="FFC00000"/>
      </font>
    </dxf>
    <dxf>
      <font>
        <strike val="0"/>
      </font>
      <fill>
        <patternFill>
          <bgColor theme="5" tint="0.39994506668294322"/>
        </patternFill>
      </fill>
    </dxf>
    <dxf>
      <font>
        <strike val="0"/>
        <color rgb="FFC00000"/>
      </font>
    </dxf>
    <dxf>
      <font>
        <b/>
        <i val="0"/>
        <strike val="0"/>
        <color rgb="FF0070C0"/>
      </font>
    </dxf>
    <dxf>
      <font>
        <b/>
        <i val="0"/>
        <strike val="0"/>
        <color rgb="FF0070C0"/>
      </font>
    </dxf>
    <dxf>
      <font>
        <strike val="0"/>
        <color rgb="FFC00000"/>
      </font>
    </dxf>
    <dxf>
      <fill>
        <patternFill>
          <bgColor theme="0" tint="-0.24994659260841701"/>
        </patternFill>
      </fill>
    </dxf>
    <dxf>
      <font>
        <strike val="0"/>
        <color theme="1" tint="0.499984740745262"/>
      </font>
    </dxf>
    <dxf>
      <font>
        <b/>
        <i val="0"/>
        <strike val="0"/>
        <color rgb="FFC00000"/>
      </font>
    </dxf>
    <dxf>
      <font>
        <b/>
        <i val="0"/>
        <color rgb="FFC00000"/>
      </font>
    </dxf>
    <dxf>
      <font>
        <b/>
        <i val="0"/>
        <color rgb="FF0070C0"/>
      </font>
    </dxf>
    <dxf>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dxf>
  </dxfs>
  <tableStyles count="1" defaultTableStyle="TableStyleMedium2" defaultPivotStyle="PivotStyleLight16">
    <tableStyle name="Invisible" pivot="0" table="0" count="0" xr9:uid="{A46F724E-EF67-4023-A840-60FD9A49998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ydneywater.com.au/content/dam/sydneywater/documents/provider-information/constructing-new-pipes/average-daily-water-use-by-property-type.pdf" TargetMode="External"/><Relationship Id="rId1" Type="http://schemas.openxmlformats.org/officeDocument/2006/relationships/hyperlink" Target="https://www.sydneywater.com.au/content/dam/sydneywater/documents/wastewater-charges-for-nonresidential-properties.pdf"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490538</xdr:colOff>
      <xdr:row>6</xdr:row>
      <xdr:rowOff>344090</xdr:rowOff>
    </xdr:from>
    <xdr:to>
      <xdr:col>1</xdr:col>
      <xdr:colOff>2520553</xdr:colOff>
      <xdr:row>6</xdr:row>
      <xdr:rowOff>481012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D95CE15-EF99-EC4C-3001-787C5C8B43C4}"/>
            </a:ext>
          </a:extLst>
        </xdr:cNvPr>
        <xdr:cNvSpPr/>
      </xdr:nvSpPr>
      <xdr:spPr bwMode="auto">
        <a:xfrm>
          <a:off x="747713" y="2639615"/>
          <a:ext cx="2030015" cy="136922"/>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en-AU" sz="1100"/>
        </a:p>
      </xdr:txBody>
    </xdr:sp>
    <xdr:clientData/>
  </xdr:twoCellAnchor>
  <xdr:twoCellAnchor>
    <xdr:from>
      <xdr:col>1</xdr:col>
      <xdr:colOff>26222</xdr:colOff>
      <xdr:row>7</xdr:row>
      <xdr:rowOff>171898</xdr:rowOff>
    </xdr:from>
    <xdr:to>
      <xdr:col>1</xdr:col>
      <xdr:colOff>2690192</xdr:colOff>
      <xdr:row>7</xdr:row>
      <xdr:rowOff>318052</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92C88E6C-F120-2EC5-52C5-BA64DCB70A34}"/>
            </a:ext>
          </a:extLst>
        </xdr:cNvPr>
        <xdr:cNvSpPr/>
      </xdr:nvSpPr>
      <xdr:spPr bwMode="auto">
        <a:xfrm>
          <a:off x="284639" y="3451811"/>
          <a:ext cx="2663970" cy="146154"/>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en-AU" sz="1100"/>
        </a:p>
      </xdr:txBody>
    </xdr:sp>
    <xdr:clientData/>
  </xdr:twoCellAnchor>
  <xdr:twoCellAnchor>
    <xdr:from>
      <xdr:col>1</xdr:col>
      <xdr:colOff>131444</xdr:colOff>
      <xdr:row>6</xdr:row>
      <xdr:rowOff>179070</xdr:rowOff>
    </xdr:from>
    <xdr:to>
      <xdr:col>1</xdr:col>
      <xdr:colOff>2743199</xdr:colOff>
      <xdr:row>6</xdr:row>
      <xdr:rowOff>333375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E41D33F-D47A-4B54-B804-C55D356353AA}"/>
            </a:ext>
          </a:extLst>
        </xdr:cNvPr>
        <xdr:cNvSpPr/>
      </xdr:nvSpPr>
      <xdr:spPr bwMode="auto">
        <a:xfrm>
          <a:off x="388619" y="2474595"/>
          <a:ext cx="2611755" cy="154305"/>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en-AU" sz="1100"/>
        </a:p>
      </xdr:txBody>
    </xdr:sp>
    <xdr:clientData/>
  </xdr:twoCellAnchor>
  <xdr:twoCellAnchor>
    <xdr:from>
      <xdr:col>3</xdr:col>
      <xdr:colOff>45720</xdr:colOff>
      <xdr:row>17</xdr:row>
      <xdr:rowOff>239423</xdr:rowOff>
    </xdr:from>
    <xdr:to>
      <xdr:col>4</xdr:col>
      <xdr:colOff>332508</xdr:colOff>
      <xdr:row>17</xdr:row>
      <xdr:rowOff>632697</xdr:rowOff>
    </xdr:to>
    <xdr:sp macro="" textlink="">
      <xdr:nvSpPr>
        <xdr:cNvPr id="14" name="TextBox 13">
          <a:extLst>
            <a:ext uri="{FF2B5EF4-FFF2-40B4-BE49-F238E27FC236}">
              <a16:creationId xmlns:a16="http://schemas.microsoft.com/office/drawing/2014/main" id="{28938C6F-9D0F-A135-A13D-508CB1D37AA9}"/>
            </a:ext>
          </a:extLst>
        </xdr:cNvPr>
        <xdr:cNvSpPr txBox="1"/>
      </xdr:nvSpPr>
      <xdr:spPr>
        <a:xfrm>
          <a:off x="6346874" y="7178019"/>
          <a:ext cx="1583653" cy="393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AU" sz="1400" b="1"/>
            <a:t>"Data</a:t>
          </a:r>
          <a:r>
            <a:rPr lang="en-AU" sz="1400" b="1" baseline="0"/>
            <a:t> Input" sheet</a:t>
          </a:r>
          <a:endParaRPr lang="en-AU" sz="1400" b="1"/>
        </a:p>
      </xdr:txBody>
    </xdr:sp>
    <xdr:clientData/>
  </xdr:twoCellAnchor>
  <xdr:twoCellAnchor editAs="oneCell">
    <xdr:from>
      <xdr:col>3</xdr:col>
      <xdr:colOff>322431</xdr:colOff>
      <xdr:row>16</xdr:row>
      <xdr:rowOff>1261658</xdr:rowOff>
    </xdr:from>
    <xdr:to>
      <xdr:col>15</xdr:col>
      <xdr:colOff>281608</xdr:colOff>
      <xdr:row>18</xdr:row>
      <xdr:rowOff>618057</xdr:rowOff>
    </xdr:to>
    <xdr:pic>
      <xdr:nvPicPr>
        <xdr:cNvPr id="8" name="Picture 7">
          <a:extLst>
            <a:ext uri="{FF2B5EF4-FFF2-40B4-BE49-F238E27FC236}">
              <a16:creationId xmlns:a16="http://schemas.microsoft.com/office/drawing/2014/main" id="{958E1161-8CFD-C466-A26D-1745B2218071}"/>
            </a:ext>
          </a:extLst>
        </xdr:cNvPr>
        <xdr:cNvPicPr>
          <a:picLocks noChangeAspect="1"/>
        </xdr:cNvPicPr>
      </xdr:nvPicPr>
      <xdr:blipFill>
        <a:blip xmlns:r="http://schemas.openxmlformats.org/officeDocument/2006/relationships" r:embed="rId3"/>
        <a:stretch>
          <a:fillRect/>
        </a:stretch>
      </xdr:blipFill>
      <xdr:spPr>
        <a:xfrm>
          <a:off x="6617214" y="6802723"/>
          <a:ext cx="9865177" cy="48560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64</xdr:col>
      <xdr:colOff>110490</xdr:colOff>
      <xdr:row>25</xdr:row>
      <xdr:rowOff>41909</xdr:rowOff>
    </xdr:from>
    <xdr:to>
      <xdr:col>82</xdr:col>
      <xdr:colOff>110490</xdr:colOff>
      <xdr:row>36</xdr:row>
      <xdr:rowOff>118109</xdr:rowOff>
    </xdr:to>
    <xdr:sp macro="" textlink="">
      <xdr:nvSpPr>
        <xdr:cNvPr id="2" name="TextBox 1">
          <a:extLst>
            <a:ext uri="{FF2B5EF4-FFF2-40B4-BE49-F238E27FC236}">
              <a16:creationId xmlns:a16="http://schemas.microsoft.com/office/drawing/2014/main" id="{722B4A87-863D-AF0F-F783-79E892B57FD1}"/>
            </a:ext>
          </a:extLst>
        </xdr:cNvPr>
        <xdr:cNvSpPr txBox="1"/>
      </xdr:nvSpPr>
      <xdr:spPr>
        <a:xfrm>
          <a:off x="13062585" y="3644264"/>
          <a:ext cx="3771900" cy="1866900"/>
        </a:xfrm>
        <a:prstGeom prst="rect">
          <a:avLst/>
        </a:prstGeom>
        <a:solidFill>
          <a:schemeClr val="accent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a:t>Flow</a:t>
          </a:r>
          <a:r>
            <a:rPr lang="en-AU" sz="1200" baseline="0"/>
            <a:t> rates </a:t>
          </a:r>
          <a:r>
            <a:rPr lang="en-AU" sz="1200" b="1" baseline="0"/>
            <a:t>only</a:t>
          </a:r>
          <a:r>
            <a:rPr lang="en-AU" sz="1200" baseline="0"/>
            <a:t> for the additional demand must be included in the tool.</a:t>
          </a:r>
        </a:p>
        <a:p>
          <a:endParaRPr lang="en-AU" sz="1200" baseline="0"/>
        </a:p>
        <a:p>
          <a:r>
            <a:rPr lang="en-AU" sz="1200" baseline="0"/>
            <a:t>In this case, the additional demand will be from the </a:t>
          </a:r>
          <a:r>
            <a:rPr lang="en-AU" sz="1200" b="1" i="1" baseline="0"/>
            <a:t>swimming pool only</a:t>
          </a:r>
          <a:r>
            <a:rPr lang="en-AU" sz="1200" baseline="0"/>
            <a:t>. Entry related to swimming pool is required in the tool.</a:t>
          </a:r>
        </a:p>
        <a:p>
          <a:endParaRPr lang="en-AU" sz="1200" baseline="0"/>
        </a:p>
        <a:p>
          <a:r>
            <a:rPr lang="en-AU" sz="1200" baseline="0"/>
            <a:t>Do not include total demand for 2000 students and the swimming pool.</a:t>
          </a:r>
          <a:endParaRPr lang="en-AU" sz="1100"/>
        </a:p>
      </xdr:txBody>
    </xdr:sp>
    <xdr:clientData/>
  </xdr:twoCellAnchor>
  <xdr:twoCellAnchor editAs="absolute">
    <xdr:from>
      <xdr:col>64</xdr:col>
      <xdr:colOff>110490</xdr:colOff>
      <xdr:row>49</xdr:row>
      <xdr:rowOff>3810</xdr:rowOff>
    </xdr:from>
    <xdr:to>
      <xdr:col>82</xdr:col>
      <xdr:colOff>110490</xdr:colOff>
      <xdr:row>59</xdr:row>
      <xdr:rowOff>3810</xdr:rowOff>
    </xdr:to>
    <xdr:sp macro="" textlink="">
      <xdr:nvSpPr>
        <xdr:cNvPr id="3" name="TextBox 2">
          <a:extLst>
            <a:ext uri="{FF2B5EF4-FFF2-40B4-BE49-F238E27FC236}">
              <a16:creationId xmlns:a16="http://schemas.microsoft.com/office/drawing/2014/main" id="{7F0C36EE-A995-409C-A22C-BA0AAD5F5665}"/>
            </a:ext>
          </a:extLst>
        </xdr:cNvPr>
        <xdr:cNvSpPr txBox="1"/>
      </xdr:nvSpPr>
      <xdr:spPr>
        <a:xfrm>
          <a:off x="13062585" y="7519035"/>
          <a:ext cx="3771900" cy="1623060"/>
        </a:xfrm>
        <a:prstGeom prst="rect">
          <a:avLst/>
        </a:prstGeom>
        <a:solidFill>
          <a:schemeClr val="accent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Flow</a:t>
          </a:r>
          <a:r>
            <a:rPr lang="en-AU" sz="1100" baseline="0">
              <a:solidFill>
                <a:schemeClr val="dk1"/>
              </a:solidFill>
              <a:effectLst/>
              <a:latin typeface="+mn-lt"/>
              <a:ea typeface="+mn-ea"/>
              <a:cs typeface="+mn-cs"/>
            </a:rPr>
            <a:t> rates </a:t>
          </a:r>
          <a:r>
            <a:rPr lang="en-AU" sz="1100" b="1" baseline="0">
              <a:solidFill>
                <a:schemeClr val="dk1"/>
              </a:solidFill>
              <a:effectLst/>
              <a:latin typeface="+mn-lt"/>
              <a:ea typeface="+mn-ea"/>
              <a:cs typeface="+mn-cs"/>
            </a:rPr>
            <a:t>only</a:t>
          </a:r>
          <a:r>
            <a:rPr lang="en-AU" sz="1100" baseline="0">
              <a:solidFill>
                <a:schemeClr val="dk1"/>
              </a:solidFill>
              <a:effectLst/>
              <a:latin typeface="+mn-lt"/>
              <a:ea typeface="+mn-ea"/>
              <a:cs typeface="+mn-cs"/>
            </a:rPr>
            <a:t> for the additional demand must be included in the tool.</a:t>
          </a:r>
          <a:endParaRPr lang="en-AU" sz="1200">
            <a:effectLst/>
          </a:endParaRPr>
        </a:p>
        <a:p>
          <a:r>
            <a:rPr lang="en-AU" sz="1100" baseline="0">
              <a:solidFill>
                <a:schemeClr val="dk1"/>
              </a:solidFill>
              <a:effectLst/>
              <a:latin typeface="+mn-lt"/>
              <a:ea typeface="+mn-ea"/>
              <a:cs typeface="+mn-cs"/>
            </a:rPr>
            <a:t>In this case, the additional demand will be from the </a:t>
          </a:r>
          <a:r>
            <a:rPr lang="en-AU" sz="1100" b="1" i="1" baseline="0">
              <a:solidFill>
                <a:schemeClr val="dk1"/>
              </a:solidFill>
              <a:effectLst/>
              <a:latin typeface="+mn-lt"/>
              <a:ea typeface="+mn-ea"/>
              <a:cs typeface="+mn-cs"/>
            </a:rPr>
            <a:t>100 additional beds only</a:t>
          </a:r>
          <a:r>
            <a:rPr lang="en-AU" sz="1100" baseline="0">
              <a:solidFill>
                <a:schemeClr val="dk1"/>
              </a:solidFill>
              <a:effectLst/>
              <a:latin typeface="+mn-lt"/>
              <a:ea typeface="+mn-ea"/>
              <a:cs typeface="+mn-cs"/>
            </a:rPr>
            <a:t>. Entry related to 100 beds is required in the tool.</a:t>
          </a:r>
        </a:p>
        <a:p>
          <a:endParaRPr lang="en-AU"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Do not include total demand for 300 beds.</a:t>
          </a:r>
          <a:endParaRPr lang="en-AU" sz="1200">
            <a:effectLst/>
          </a:endParaRPr>
        </a:p>
      </xdr:txBody>
    </xdr:sp>
    <xdr:clientData/>
  </xdr:twoCellAnchor>
  <xdr:twoCellAnchor editAs="absolute">
    <xdr:from>
      <xdr:col>64</xdr:col>
      <xdr:colOff>80010</xdr:colOff>
      <xdr:row>74</xdr:row>
      <xdr:rowOff>41910</xdr:rowOff>
    </xdr:from>
    <xdr:to>
      <xdr:col>82</xdr:col>
      <xdr:colOff>80010</xdr:colOff>
      <xdr:row>84</xdr:row>
      <xdr:rowOff>34290</xdr:rowOff>
    </xdr:to>
    <xdr:sp macro="" textlink="">
      <xdr:nvSpPr>
        <xdr:cNvPr id="7" name="TextBox 6">
          <a:extLst>
            <a:ext uri="{FF2B5EF4-FFF2-40B4-BE49-F238E27FC236}">
              <a16:creationId xmlns:a16="http://schemas.microsoft.com/office/drawing/2014/main" id="{740EE416-A1E2-4AD4-BFAA-45DC995821EA}"/>
            </a:ext>
          </a:extLst>
        </xdr:cNvPr>
        <xdr:cNvSpPr txBox="1"/>
      </xdr:nvSpPr>
      <xdr:spPr>
        <a:xfrm>
          <a:off x="13043535" y="11616690"/>
          <a:ext cx="3771900" cy="1607820"/>
        </a:xfrm>
        <a:prstGeom prst="rect">
          <a:avLst/>
        </a:prstGeom>
        <a:solidFill>
          <a:schemeClr val="accent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Because the existing warehouse will</a:t>
          </a:r>
          <a:r>
            <a:rPr lang="en-AU" sz="1100" baseline="0">
              <a:solidFill>
                <a:schemeClr val="dk1"/>
              </a:solidFill>
              <a:effectLst/>
              <a:latin typeface="+mn-lt"/>
              <a:ea typeface="+mn-ea"/>
              <a:cs typeface="+mn-cs"/>
            </a:rPr>
            <a:t> be completely </a:t>
          </a:r>
          <a:r>
            <a:rPr lang="en-AU" sz="1100" b="1" i="1" baseline="0">
              <a:solidFill>
                <a:schemeClr val="dk1"/>
              </a:solidFill>
              <a:effectLst/>
              <a:latin typeface="+mn-lt"/>
              <a:ea typeface="+mn-ea"/>
              <a:cs typeface="+mn-cs"/>
            </a:rPr>
            <a:t>replaced </a:t>
          </a:r>
          <a:r>
            <a:rPr lang="en-AU" sz="1100" b="0" i="0" baseline="0">
              <a:solidFill>
                <a:schemeClr val="dk1"/>
              </a:solidFill>
              <a:effectLst/>
              <a:latin typeface="+mn-lt"/>
              <a:ea typeface="+mn-ea"/>
              <a:cs typeface="+mn-cs"/>
            </a:rPr>
            <a:t>with</a:t>
          </a:r>
          <a:r>
            <a:rPr lang="en-AU" sz="1100" baseline="0">
              <a:solidFill>
                <a:schemeClr val="dk1"/>
              </a:solidFill>
              <a:effectLst/>
              <a:latin typeface="+mn-lt"/>
              <a:ea typeface="+mn-ea"/>
              <a:cs typeface="+mn-cs"/>
            </a:rPr>
            <a:t> a new hospital, </a:t>
          </a:r>
          <a:r>
            <a:rPr lang="en-AU" sz="1100" b="1" baseline="0">
              <a:solidFill>
                <a:schemeClr val="dk1"/>
              </a:solidFill>
              <a:effectLst/>
              <a:latin typeface="+mn-lt"/>
              <a:ea typeface="+mn-ea"/>
              <a:cs typeface="+mn-cs"/>
            </a:rPr>
            <a:t>total demand </a:t>
          </a:r>
          <a:r>
            <a:rPr lang="en-AU" sz="1100" baseline="0">
              <a:solidFill>
                <a:schemeClr val="dk1"/>
              </a:solidFill>
              <a:effectLst/>
              <a:latin typeface="+mn-lt"/>
              <a:ea typeface="+mn-ea"/>
              <a:cs typeface="+mn-cs"/>
            </a:rPr>
            <a:t>is expected in the tool.</a:t>
          </a:r>
        </a:p>
        <a:p>
          <a:endParaRPr lang="en-AU" sz="1100" baseline="0">
            <a:solidFill>
              <a:schemeClr val="dk1"/>
            </a:solidFill>
            <a:effectLst/>
            <a:latin typeface="+mn-lt"/>
            <a:ea typeface="+mn-ea"/>
            <a:cs typeface="+mn-cs"/>
          </a:endParaRPr>
        </a:p>
        <a:p>
          <a:r>
            <a:rPr lang="en-AU" sz="1100" baseline="0">
              <a:solidFill>
                <a:schemeClr val="dk1"/>
              </a:solidFill>
              <a:effectLst/>
              <a:latin typeface="+mn-lt"/>
              <a:ea typeface="+mn-ea"/>
              <a:cs typeface="+mn-cs"/>
            </a:rPr>
            <a:t>Include the flow rates for all </a:t>
          </a:r>
          <a:r>
            <a:rPr lang="en-AU" sz="1100" b="1" baseline="0">
              <a:solidFill>
                <a:schemeClr val="dk1"/>
              </a:solidFill>
              <a:effectLst/>
              <a:latin typeface="+mn-lt"/>
              <a:ea typeface="+mn-ea"/>
              <a:cs typeface="+mn-cs"/>
            </a:rPr>
            <a:t>300 beds</a:t>
          </a:r>
          <a:r>
            <a:rPr lang="en-AU" sz="1100" baseline="0">
              <a:solidFill>
                <a:schemeClr val="dk1"/>
              </a:solidFill>
              <a:effectLst/>
              <a:latin typeface="+mn-lt"/>
              <a:ea typeface="+mn-ea"/>
              <a:cs typeface="+mn-cs"/>
            </a:rPr>
            <a:t> in the tool.</a:t>
          </a:r>
          <a:endParaRPr lang="en-AU" sz="1200">
            <a:effectLst/>
          </a:endParaRPr>
        </a:p>
      </xdr:txBody>
    </xdr:sp>
    <xdr:clientData/>
  </xdr:twoCellAnchor>
  <xdr:twoCellAnchor editAs="absolute">
    <xdr:from>
      <xdr:col>64</xdr:col>
      <xdr:colOff>110490</xdr:colOff>
      <xdr:row>99</xdr:row>
      <xdr:rowOff>41910</xdr:rowOff>
    </xdr:from>
    <xdr:to>
      <xdr:col>82</xdr:col>
      <xdr:colOff>110490</xdr:colOff>
      <xdr:row>109</xdr:row>
      <xdr:rowOff>41910</xdr:rowOff>
    </xdr:to>
    <xdr:sp macro="" textlink="">
      <xdr:nvSpPr>
        <xdr:cNvPr id="8" name="TextBox 7">
          <a:extLst>
            <a:ext uri="{FF2B5EF4-FFF2-40B4-BE49-F238E27FC236}">
              <a16:creationId xmlns:a16="http://schemas.microsoft.com/office/drawing/2014/main" id="{A245C8CB-3DCD-4572-97F1-24E3000A67BF}"/>
            </a:ext>
          </a:extLst>
        </xdr:cNvPr>
        <xdr:cNvSpPr txBox="1"/>
      </xdr:nvSpPr>
      <xdr:spPr>
        <a:xfrm>
          <a:off x="13062585" y="15683865"/>
          <a:ext cx="3771900" cy="1628775"/>
        </a:xfrm>
        <a:prstGeom prst="rect">
          <a:avLst/>
        </a:prstGeom>
        <a:solidFill>
          <a:schemeClr val="accent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Flow</a:t>
          </a:r>
          <a:r>
            <a:rPr lang="en-AU" sz="1100" baseline="0">
              <a:solidFill>
                <a:schemeClr val="dk1"/>
              </a:solidFill>
              <a:effectLst/>
              <a:latin typeface="+mn-lt"/>
              <a:ea typeface="+mn-ea"/>
              <a:cs typeface="+mn-cs"/>
            </a:rPr>
            <a:t> rates </a:t>
          </a:r>
          <a:r>
            <a:rPr lang="en-AU" sz="1100" b="1" baseline="0">
              <a:solidFill>
                <a:schemeClr val="dk1"/>
              </a:solidFill>
              <a:effectLst/>
              <a:latin typeface="+mn-lt"/>
              <a:ea typeface="+mn-ea"/>
              <a:cs typeface="+mn-cs"/>
            </a:rPr>
            <a:t>only</a:t>
          </a:r>
          <a:r>
            <a:rPr lang="en-AU" sz="1100" baseline="0">
              <a:solidFill>
                <a:schemeClr val="dk1"/>
              </a:solidFill>
              <a:effectLst/>
              <a:latin typeface="+mn-lt"/>
              <a:ea typeface="+mn-ea"/>
              <a:cs typeface="+mn-cs"/>
            </a:rPr>
            <a:t> for the additional demand must be included in the tool.</a:t>
          </a:r>
        </a:p>
        <a:p>
          <a:endParaRPr lang="en-AU">
            <a:effectLst/>
          </a:endParaRPr>
        </a:p>
        <a:p>
          <a:r>
            <a:rPr lang="en-AU" sz="1100" baseline="0">
              <a:solidFill>
                <a:schemeClr val="dk1"/>
              </a:solidFill>
              <a:effectLst/>
              <a:latin typeface="+mn-lt"/>
              <a:ea typeface="+mn-ea"/>
              <a:cs typeface="+mn-cs"/>
            </a:rPr>
            <a:t>In this case, the additional demand will be from the </a:t>
          </a:r>
          <a:r>
            <a:rPr lang="en-AU" sz="1100" b="1" i="1" baseline="0">
              <a:solidFill>
                <a:schemeClr val="dk1"/>
              </a:solidFill>
              <a:effectLst/>
              <a:latin typeface="+mn-lt"/>
              <a:ea typeface="+mn-ea"/>
              <a:cs typeface="+mn-cs"/>
            </a:rPr>
            <a:t>Emergency depart only</a:t>
          </a:r>
          <a:r>
            <a:rPr lang="en-AU" sz="1100" baseline="0">
              <a:solidFill>
                <a:schemeClr val="dk1"/>
              </a:solidFill>
              <a:effectLst/>
              <a:latin typeface="+mn-lt"/>
              <a:ea typeface="+mn-ea"/>
              <a:cs typeface="+mn-cs"/>
            </a:rPr>
            <a:t>. Entry related to 50 beds is required in the tool.</a:t>
          </a:r>
          <a:endParaRPr lang="en-AU">
            <a:effectLst/>
          </a:endParaRPr>
        </a:p>
        <a:p>
          <a:pPr eaLnBrk="1" fontAlgn="auto" latinLnBrk="0" hangingPunct="1"/>
          <a:endParaRPr lang="en-AU" sz="1100" baseline="0">
            <a:solidFill>
              <a:schemeClr val="dk1"/>
            </a:solidFill>
            <a:effectLst/>
            <a:latin typeface="+mn-lt"/>
            <a:ea typeface="+mn-ea"/>
            <a:cs typeface="+mn-cs"/>
          </a:endParaRPr>
        </a:p>
        <a:p>
          <a:pPr eaLnBrk="1" fontAlgn="auto" latinLnBrk="0" hangingPunct="1"/>
          <a:r>
            <a:rPr lang="en-AU" sz="1100" baseline="0">
              <a:solidFill>
                <a:schemeClr val="dk1"/>
              </a:solidFill>
              <a:effectLst/>
              <a:latin typeface="+mn-lt"/>
              <a:ea typeface="+mn-ea"/>
              <a:cs typeface="+mn-cs"/>
            </a:rPr>
            <a:t>Do not include total demand.</a:t>
          </a:r>
          <a:endParaRPr lang="en-AU">
            <a:effectLst/>
          </a:endParaRPr>
        </a:p>
      </xdr:txBody>
    </xdr:sp>
    <xdr:clientData/>
  </xdr:twoCellAnchor>
  <xdr:twoCellAnchor editAs="absolute">
    <xdr:from>
      <xdr:col>37</xdr:col>
      <xdr:colOff>3810</xdr:colOff>
      <xdr:row>123</xdr:row>
      <xdr:rowOff>72392</xdr:rowOff>
    </xdr:from>
    <xdr:to>
      <xdr:col>40</xdr:col>
      <xdr:colOff>186690</xdr:colOff>
      <xdr:row>124</xdr:row>
      <xdr:rowOff>110491</xdr:rowOff>
    </xdr:to>
    <xdr:sp macro="" textlink="">
      <xdr:nvSpPr>
        <xdr:cNvPr id="9" name="Left Brace 8">
          <a:extLst>
            <a:ext uri="{FF2B5EF4-FFF2-40B4-BE49-F238E27FC236}">
              <a16:creationId xmlns:a16="http://schemas.microsoft.com/office/drawing/2014/main" id="{70B22EC7-7196-3CE2-E63F-7EE425EAD94F}"/>
            </a:ext>
          </a:extLst>
        </xdr:cNvPr>
        <xdr:cNvSpPr/>
      </xdr:nvSpPr>
      <xdr:spPr bwMode="auto">
        <a:xfrm rot="5400000">
          <a:off x="7608570" y="19295747"/>
          <a:ext cx="194309" cy="811530"/>
        </a:xfrm>
        <a:prstGeom prst="leftBrace">
          <a:avLst/>
        </a:prstGeom>
        <a:ln>
          <a:headEnd type="none" w="med" len="med"/>
          <a:tailEnd type="none" w="med" len="med"/>
        </a:ln>
      </xdr:spPr>
      <xdr:style>
        <a:lnRef idx="2">
          <a:schemeClr val="accent6"/>
        </a:lnRef>
        <a:fillRef idx="0">
          <a:schemeClr val="accent6"/>
        </a:fillRef>
        <a:effectRef idx="1">
          <a:schemeClr val="accent6"/>
        </a:effectRef>
        <a:fontRef idx="minor">
          <a:schemeClr val="tx1"/>
        </a:fontRef>
      </xdr:style>
      <xdr:txBody>
        <a:bodyPr vertOverflow="clip" wrap="square" lIns="18288" tIns="0" rIns="0" bIns="0" rtlCol="0" anchor="ctr" upright="1"/>
        <a:lstStyle/>
        <a:p>
          <a:pPr algn="l"/>
          <a:endParaRPr lang="en-AU" sz="1100"/>
        </a:p>
      </xdr:txBody>
    </xdr:sp>
    <xdr:clientData/>
  </xdr:twoCellAnchor>
  <xdr:twoCellAnchor editAs="absolute">
    <xdr:from>
      <xdr:col>41</xdr:col>
      <xdr:colOff>34288</xdr:colOff>
      <xdr:row>123</xdr:row>
      <xdr:rowOff>72390</xdr:rowOff>
    </xdr:from>
    <xdr:to>
      <xdr:col>53</xdr:col>
      <xdr:colOff>186689</xdr:colOff>
      <xdr:row>124</xdr:row>
      <xdr:rowOff>110491</xdr:rowOff>
    </xdr:to>
    <xdr:sp macro="" textlink="">
      <xdr:nvSpPr>
        <xdr:cNvPr id="10" name="Left Brace 9">
          <a:extLst>
            <a:ext uri="{FF2B5EF4-FFF2-40B4-BE49-F238E27FC236}">
              <a16:creationId xmlns:a16="http://schemas.microsoft.com/office/drawing/2014/main" id="{D8B8BDB3-0AA9-410C-B290-C1218F26DE20}"/>
            </a:ext>
          </a:extLst>
        </xdr:cNvPr>
        <xdr:cNvSpPr/>
      </xdr:nvSpPr>
      <xdr:spPr bwMode="auto">
        <a:xfrm rot="5400000">
          <a:off x="9404031" y="18367057"/>
          <a:ext cx="196216" cy="2667001"/>
        </a:xfrm>
        <a:prstGeom prst="leftBrace">
          <a:avLst/>
        </a:prstGeom>
        <a:ln>
          <a:headEnd type="none" w="med" len="med"/>
          <a:tailEnd type="none" w="med" len="med"/>
        </a:ln>
      </xdr:spPr>
      <xdr:style>
        <a:lnRef idx="2">
          <a:schemeClr val="accent1"/>
        </a:lnRef>
        <a:fillRef idx="0">
          <a:schemeClr val="accent1"/>
        </a:fillRef>
        <a:effectRef idx="1">
          <a:schemeClr val="accent1"/>
        </a:effectRef>
        <a:fontRef idx="minor">
          <a:schemeClr val="tx1"/>
        </a:fontRef>
      </xdr:style>
      <xdr:txBody>
        <a:bodyPr vertOverflow="clip" wrap="square" lIns="18288" tIns="0" rIns="0" bIns="0" rtlCol="0" anchor="ctr" upright="1"/>
        <a:lstStyle/>
        <a:p>
          <a:pPr algn="l"/>
          <a:endParaRPr lang="en-AU" sz="1100"/>
        </a:p>
      </xdr:txBody>
    </xdr:sp>
    <xdr:clientData/>
  </xdr:twoCellAnchor>
  <xdr:oneCellAnchor>
    <xdr:from>
      <xdr:col>37</xdr:col>
      <xdr:colOff>32385</xdr:colOff>
      <xdr:row>120</xdr:row>
      <xdr:rowOff>148590</xdr:rowOff>
    </xdr:from>
    <xdr:ext cx="775020" cy="436786"/>
    <xdr:sp macro="" textlink="">
      <xdr:nvSpPr>
        <xdr:cNvPr id="11" name="TextBox 10">
          <a:extLst>
            <a:ext uri="{FF2B5EF4-FFF2-40B4-BE49-F238E27FC236}">
              <a16:creationId xmlns:a16="http://schemas.microsoft.com/office/drawing/2014/main" id="{52D857C2-B547-24C4-DFB8-94147C3F181A}"/>
            </a:ext>
          </a:extLst>
        </xdr:cNvPr>
        <xdr:cNvSpPr txBox="1"/>
      </xdr:nvSpPr>
      <xdr:spPr>
        <a:xfrm>
          <a:off x="7469505" y="16341090"/>
          <a:ext cx="77502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AU" sz="1100">
              <a:solidFill>
                <a:schemeClr val="accent6">
                  <a:lumMod val="75000"/>
                </a:schemeClr>
              </a:solidFill>
            </a:rPr>
            <a:t>Additional</a:t>
          </a:r>
        </a:p>
        <a:p>
          <a:pPr algn="ctr"/>
          <a:r>
            <a:rPr lang="en-AU" sz="1100">
              <a:solidFill>
                <a:schemeClr val="accent6">
                  <a:lumMod val="75000"/>
                </a:schemeClr>
              </a:solidFill>
            </a:rPr>
            <a:t>demand</a:t>
          </a:r>
        </a:p>
      </xdr:txBody>
    </xdr:sp>
    <xdr:clientData/>
  </xdr:oneCellAnchor>
  <xdr:oneCellAnchor>
    <xdr:from>
      <xdr:col>45</xdr:col>
      <xdr:colOff>207356</xdr:colOff>
      <xdr:row>120</xdr:row>
      <xdr:rowOff>137160</xdr:rowOff>
    </xdr:from>
    <xdr:ext cx="657488" cy="436786"/>
    <xdr:sp macro="" textlink="">
      <xdr:nvSpPr>
        <xdr:cNvPr id="12" name="TextBox 11">
          <a:extLst>
            <a:ext uri="{FF2B5EF4-FFF2-40B4-BE49-F238E27FC236}">
              <a16:creationId xmlns:a16="http://schemas.microsoft.com/office/drawing/2014/main" id="{2D045241-2A18-44EA-BC59-2080F054561B}"/>
            </a:ext>
          </a:extLst>
        </xdr:cNvPr>
        <xdr:cNvSpPr txBox="1"/>
      </xdr:nvSpPr>
      <xdr:spPr>
        <a:xfrm>
          <a:off x="9351356" y="16329660"/>
          <a:ext cx="657488"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AU" sz="1100">
              <a:solidFill>
                <a:srgbClr val="0070C0"/>
              </a:solidFill>
            </a:rPr>
            <a:t>Existing</a:t>
          </a:r>
        </a:p>
        <a:p>
          <a:pPr algn="ctr"/>
          <a:r>
            <a:rPr lang="en-AU" sz="1100">
              <a:solidFill>
                <a:srgbClr val="0070C0"/>
              </a:solidFill>
            </a:rPr>
            <a:t>demand</a:t>
          </a:r>
        </a:p>
      </xdr:txBody>
    </xdr:sp>
    <xdr:clientData/>
  </xdr:oneCellAnchor>
  <xdr:twoCellAnchor editAs="absolute">
    <xdr:from>
      <xdr:col>37</xdr:col>
      <xdr:colOff>34288</xdr:colOff>
      <xdr:row>118</xdr:row>
      <xdr:rowOff>148589</xdr:rowOff>
    </xdr:from>
    <xdr:to>
      <xdr:col>53</xdr:col>
      <xdr:colOff>156210</xdr:colOff>
      <xdr:row>120</xdr:row>
      <xdr:rowOff>72391</xdr:rowOff>
    </xdr:to>
    <xdr:sp macro="" textlink="">
      <xdr:nvSpPr>
        <xdr:cNvPr id="13" name="Left Brace 12">
          <a:extLst>
            <a:ext uri="{FF2B5EF4-FFF2-40B4-BE49-F238E27FC236}">
              <a16:creationId xmlns:a16="http://schemas.microsoft.com/office/drawing/2014/main" id="{A0D5ADB0-7D68-48DE-96F5-FAF3A26C3FDB}"/>
            </a:ext>
          </a:extLst>
        </xdr:cNvPr>
        <xdr:cNvSpPr/>
      </xdr:nvSpPr>
      <xdr:spPr bwMode="auto">
        <a:xfrm rot="5400000">
          <a:off x="8940163" y="17255489"/>
          <a:ext cx="255272" cy="3474722"/>
        </a:xfrm>
        <a:prstGeom prst="leftBrace">
          <a:avLst/>
        </a:prstGeom>
        <a:ln>
          <a:solidFill>
            <a:schemeClr val="accent2"/>
          </a:solidFill>
          <a:headEnd type="none" w="med" len="med"/>
          <a:tailEnd type="none" w="med" len="med"/>
        </a:ln>
      </xdr:spPr>
      <xdr:style>
        <a:lnRef idx="2">
          <a:schemeClr val="accent1"/>
        </a:lnRef>
        <a:fillRef idx="0">
          <a:schemeClr val="accent1"/>
        </a:fillRef>
        <a:effectRef idx="1">
          <a:schemeClr val="accent1"/>
        </a:effectRef>
        <a:fontRef idx="minor">
          <a:schemeClr val="tx1"/>
        </a:fontRef>
      </xdr:style>
      <xdr:txBody>
        <a:bodyPr vertOverflow="clip" wrap="square" lIns="18288" tIns="0" rIns="0" bIns="0" rtlCol="0" anchor="ctr" upright="1"/>
        <a:lstStyle/>
        <a:p>
          <a:pPr algn="l"/>
          <a:endParaRPr lang="en-AU" sz="1100">
            <a:solidFill>
              <a:schemeClr val="accent2"/>
            </a:solidFill>
          </a:endParaRPr>
        </a:p>
      </xdr:txBody>
    </xdr:sp>
    <xdr:clientData/>
  </xdr:twoCellAnchor>
  <xdr:oneCellAnchor>
    <xdr:from>
      <xdr:col>43</xdr:col>
      <xdr:colOff>206261</xdr:colOff>
      <xdr:row>116</xdr:row>
      <xdr:rowOff>26670</xdr:rowOff>
    </xdr:from>
    <xdr:ext cx="667299" cy="436786"/>
    <xdr:sp macro="" textlink="">
      <xdr:nvSpPr>
        <xdr:cNvPr id="14" name="TextBox 13">
          <a:extLst>
            <a:ext uri="{FF2B5EF4-FFF2-40B4-BE49-F238E27FC236}">
              <a16:creationId xmlns:a16="http://schemas.microsoft.com/office/drawing/2014/main" id="{EB88FC74-8832-4233-A096-90A3A073EC94}"/>
            </a:ext>
          </a:extLst>
        </xdr:cNvPr>
        <xdr:cNvSpPr txBox="1"/>
      </xdr:nvSpPr>
      <xdr:spPr>
        <a:xfrm>
          <a:off x="8759711" y="15647670"/>
          <a:ext cx="667299"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AU" sz="1100" b="1">
              <a:solidFill>
                <a:schemeClr val="accent2"/>
              </a:solidFill>
            </a:rPr>
            <a:t>Total</a:t>
          </a:r>
        </a:p>
        <a:p>
          <a:pPr algn="ctr"/>
          <a:r>
            <a:rPr lang="en-AU" sz="1100" b="1">
              <a:solidFill>
                <a:schemeClr val="accent2"/>
              </a:solidFill>
            </a:rPr>
            <a:t>demand</a:t>
          </a:r>
        </a:p>
      </xdr:txBody>
    </xdr:sp>
    <xdr:clientData/>
  </xdr:oneCellAnchor>
  <xdr:twoCellAnchor editAs="absolute">
    <xdr:from>
      <xdr:col>64</xdr:col>
      <xdr:colOff>80010</xdr:colOff>
      <xdr:row>125</xdr:row>
      <xdr:rowOff>41910</xdr:rowOff>
    </xdr:from>
    <xdr:to>
      <xdr:col>82</xdr:col>
      <xdr:colOff>80010</xdr:colOff>
      <xdr:row>135</xdr:row>
      <xdr:rowOff>3810</xdr:rowOff>
    </xdr:to>
    <xdr:sp macro="" textlink="">
      <xdr:nvSpPr>
        <xdr:cNvPr id="15" name="TextBox 14">
          <a:extLst>
            <a:ext uri="{FF2B5EF4-FFF2-40B4-BE49-F238E27FC236}">
              <a16:creationId xmlns:a16="http://schemas.microsoft.com/office/drawing/2014/main" id="{EEB513BB-D0C8-4879-AAA8-B79F94B2B662}"/>
            </a:ext>
          </a:extLst>
        </xdr:cNvPr>
        <xdr:cNvSpPr txBox="1"/>
      </xdr:nvSpPr>
      <xdr:spPr>
        <a:xfrm>
          <a:off x="13034010" y="19912965"/>
          <a:ext cx="3771900" cy="1588770"/>
        </a:xfrm>
        <a:prstGeom prst="rect">
          <a:avLst/>
        </a:prstGeom>
        <a:solidFill>
          <a:schemeClr val="accent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chemeClr val="dk1"/>
              </a:solidFill>
              <a:effectLst/>
              <a:latin typeface="+mn-lt"/>
              <a:ea typeface="+mn-ea"/>
              <a:cs typeface="+mn-cs"/>
            </a:rPr>
            <a:t>Concept</a:t>
          </a:r>
        </a:p>
        <a:p>
          <a:r>
            <a:rPr lang="en-AU" sz="1100">
              <a:solidFill>
                <a:schemeClr val="dk1"/>
              </a:solidFill>
              <a:effectLst/>
              <a:latin typeface="+mn-lt"/>
              <a:ea typeface="+mn-ea"/>
              <a:cs typeface="+mn-cs"/>
            </a:rPr>
            <a:t>Total demand = Existing demand + </a:t>
          </a:r>
          <a:r>
            <a:rPr lang="en-AU" sz="1100" b="1">
              <a:solidFill>
                <a:srgbClr val="0070C0"/>
              </a:solidFill>
              <a:effectLst/>
              <a:latin typeface="+mn-lt"/>
              <a:ea typeface="+mn-ea"/>
              <a:cs typeface="+mn-cs"/>
            </a:rPr>
            <a:t>Additional</a:t>
          </a:r>
          <a:r>
            <a:rPr lang="en-AU" sz="1100">
              <a:solidFill>
                <a:schemeClr val="dk1"/>
              </a:solidFill>
              <a:effectLst/>
              <a:latin typeface="+mn-lt"/>
              <a:ea typeface="+mn-ea"/>
              <a:cs typeface="+mn-cs"/>
            </a:rPr>
            <a:t> (extra)</a:t>
          </a:r>
          <a:r>
            <a:rPr lang="en-AU" sz="1100" baseline="0">
              <a:solidFill>
                <a:schemeClr val="dk1"/>
              </a:solidFill>
              <a:effectLst/>
              <a:latin typeface="+mn-lt"/>
              <a:ea typeface="+mn-ea"/>
              <a:cs typeface="+mn-cs"/>
            </a:rPr>
            <a:t> demand</a:t>
          </a:r>
        </a:p>
        <a:p>
          <a:endParaRPr lang="en-AU" sz="1100" baseline="0">
            <a:solidFill>
              <a:schemeClr val="dk1"/>
            </a:solidFill>
            <a:effectLst/>
            <a:latin typeface="+mn-lt"/>
            <a:ea typeface="+mn-ea"/>
            <a:cs typeface="+mn-cs"/>
          </a:endParaRPr>
        </a:p>
        <a:p>
          <a:r>
            <a:rPr lang="en-AU" sz="1100" b="1" baseline="0">
              <a:solidFill>
                <a:srgbClr val="0070C0"/>
              </a:solidFill>
              <a:effectLst/>
              <a:latin typeface="+mn-lt"/>
              <a:ea typeface="+mn-ea"/>
              <a:cs typeface="+mn-cs"/>
            </a:rPr>
            <a:t>Additional</a:t>
          </a:r>
          <a:r>
            <a:rPr lang="en-AU" sz="1100" baseline="0">
              <a:solidFill>
                <a:schemeClr val="dk1"/>
              </a:solidFill>
              <a:effectLst/>
              <a:latin typeface="+mn-lt"/>
              <a:ea typeface="+mn-ea"/>
              <a:cs typeface="+mn-cs"/>
            </a:rPr>
            <a:t> demand = 350 - 300 = 50 (beds)</a:t>
          </a:r>
        </a:p>
        <a:p>
          <a:endParaRPr lang="en-AU" sz="1100" baseline="0">
            <a:solidFill>
              <a:schemeClr val="dk1"/>
            </a:solidFill>
            <a:effectLst/>
            <a:latin typeface="+mn-lt"/>
            <a:ea typeface="+mn-ea"/>
            <a:cs typeface="+mn-cs"/>
          </a:endParaRPr>
        </a:p>
        <a:p>
          <a:r>
            <a:rPr lang="en-AU" sz="1100" baseline="0">
              <a:solidFill>
                <a:schemeClr val="dk1"/>
              </a:solidFill>
              <a:effectLst/>
              <a:latin typeface="+mn-lt"/>
              <a:ea typeface="+mn-ea"/>
              <a:cs typeface="+mn-cs"/>
            </a:rPr>
            <a:t>The tool entries are based on 50 beds in this case. </a:t>
          </a:r>
          <a:endParaRPr lang="en-AU">
            <a:effectLst/>
          </a:endParaRPr>
        </a:p>
      </xdr:txBody>
    </xdr:sp>
    <xdr:clientData/>
  </xdr:twoCellAnchor>
  <xdr:twoCellAnchor>
    <xdr:from>
      <xdr:col>28</xdr:col>
      <xdr:colOff>95250</xdr:colOff>
      <xdr:row>77</xdr:row>
      <xdr:rowOff>57150</xdr:rowOff>
    </xdr:from>
    <xdr:to>
      <xdr:col>33</xdr:col>
      <xdr:colOff>25908</xdr:colOff>
      <xdr:row>80</xdr:row>
      <xdr:rowOff>56007</xdr:rowOff>
    </xdr:to>
    <xdr:sp macro="" textlink="">
      <xdr:nvSpPr>
        <xdr:cNvPr id="4" name="Arrow: Right 3">
          <a:extLst>
            <a:ext uri="{FF2B5EF4-FFF2-40B4-BE49-F238E27FC236}">
              <a16:creationId xmlns:a16="http://schemas.microsoft.com/office/drawing/2014/main" id="{D23FD731-40C3-60D0-DB70-BC78BABAC6C4}"/>
            </a:ext>
          </a:extLst>
        </xdr:cNvPr>
        <xdr:cNvSpPr/>
      </xdr:nvSpPr>
      <xdr:spPr bwMode="auto">
        <a:xfrm>
          <a:off x="5505450" y="9334500"/>
          <a:ext cx="978408" cy="484632"/>
        </a:xfrm>
        <a:prstGeom prst="right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en-AU" sz="1100"/>
        </a:p>
      </xdr:txBody>
    </xdr:sp>
    <xdr:clientData/>
  </xdr:twoCellAnchor>
  <xdr:twoCellAnchor editAs="absolute">
    <xdr:from>
      <xdr:col>37</xdr:col>
      <xdr:colOff>34290</xdr:colOff>
      <xdr:row>97</xdr:row>
      <xdr:rowOff>36194</xdr:rowOff>
    </xdr:from>
    <xdr:to>
      <xdr:col>53</xdr:col>
      <xdr:colOff>150497</xdr:colOff>
      <xdr:row>98</xdr:row>
      <xdr:rowOff>144781</xdr:rowOff>
    </xdr:to>
    <xdr:sp macro="" textlink="">
      <xdr:nvSpPr>
        <xdr:cNvPr id="5" name="Left Brace 4">
          <a:extLst>
            <a:ext uri="{FF2B5EF4-FFF2-40B4-BE49-F238E27FC236}">
              <a16:creationId xmlns:a16="http://schemas.microsoft.com/office/drawing/2014/main" id="{36874420-AC91-4502-9C93-44E64106EF91}"/>
            </a:ext>
          </a:extLst>
        </xdr:cNvPr>
        <xdr:cNvSpPr/>
      </xdr:nvSpPr>
      <xdr:spPr bwMode="auto">
        <a:xfrm rot="5400000">
          <a:off x="8934450" y="13733144"/>
          <a:ext cx="255272" cy="3474722"/>
        </a:xfrm>
        <a:prstGeom prst="leftBrace">
          <a:avLst/>
        </a:prstGeom>
        <a:ln>
          <a:solidFill>
            <a:schemeClr val="accent2"/>
          </a:solidFill>
          <a:headEnd type="none" w="med" len="med"/>
          <a:tailEnd type="none" w="med" len="med"/>
        </a:ln>
      </xdr:spPr>
      <xdr:style>
        <a:lnRef idx="2">
          <a:schemeClr val="accent1"/>
        </a:lnRef>
        <a:fillRef idx="0">
          <a:schemeClr val="accent1"/>
        </a:fillRef>
        <a:effectRef idx="1">
          <a:schemeClr val="accent1"/>
        </a:effectRef>
        <a:fontRef idx="minor">
          <a:schemeClr val="tx1"/>
        </a:fontRef>
      </xdr:style>
      <xdr:txBody>
        <a:bodyPr vertOverflow="clip" wrap="square" lIns="18288" tIns="0" rIns="0" bIns="0" rtlCol="0" anchor="ctr" upright="1"/>
        <a:lstStyle/>
        <a:p>
          <a:pPr algn="l"/>
          <a:endParaRPr lang="en-AU" sz="1100">
            <a:solidFill>
              <a:schemeClr val="accent2"/>
            </a:solidFill>
          </a:endParaRPr>
        </a:p>
      </xdr:txBody>
    </xdr:sp>
    <xdr:clientData/>
  </xdr:twoCellAnchor>
  <xdr:oneCellAnchor>
    <xdr:from>
      <xdr:col>41</xdr:col>
      <xdr:colOff>201620</xdr:colOff>
      <xdr:row>94</xdr:row>
      <xdr:rowOff>114300</xdr:rowOff>
    </xdr:from>
    <xdr:ext cx="1503356" cy="436786"/>
    <xdr:sp macro="" textlink="">
      <xdr:nvSpPr>
        <xdr:cNvPr id="6" name="TextBox 5">
          <a:extLst>
            <a:ext uri="{FF2B5EF4-FFF2-40B4-BE49-F238E27FC236}">
              <a16:creationId xmlns:a16="http://schemas.microsoft.com/office/drawing/2014/main" id="{857138F9-21B8-4EE4-84A1-E96884DA5A3D}"/>
            </a:ext>
          </a:extLst>
        </xdr:cNvPr>
        <xdr:cNvSpPr txBox="1"/>
      </xdr:nvSpPr>
      <xdr:spPr>
        <a:xfrm>
          <a:off x="8335970" y="14935200"/>
          <a:ext cx="1503356"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accent2"/>
              </a:solidFill>
            </a:rPr>
            <a:t>Proposed</a:t>
          </a:r>
        </a:p>
        <a:p>
          <a:pPr algn="ctr"/>
          <a:r>
            <a:rPr lang="en-AU" sz="1100" b="1">
              <a:solidFill>
                <a:schemeClr val="accent2"/>
              </a:solidFill>
            </a:rPr>
            <a:t>total demand</a:t>
          </a:r>
        </a:p>
      </xdr:txBody>
    </xdr:sp>
    <xdr:clientData/>
  </xdr:oneCellAnchor>
  <xdr:twoCellAnchor>
    <xdr:from>
      <xdr:col>28</xdr:col>
      <xdr:colOff>0</xdr:colOff>
      <xdr:row>51</xdr:row>
      <xdr:rowOff>0</xdr:rowOff>
    </xdr:from>
    <xdr:to>
      <xdr:col>32</xdr:col>
      <xdr:colOff>140208</xdr:colOff>
      <xdr:row>53</xdr:row>
      <xdr:rowOff>160782</xdr:rowOff>
    </xdr:to>
    <xdr:sp macro="" textlink="">
      <xdr:nvSpPr>
        <xdr:cNvPr id="17" name="Arrow: Right 16">
          <a:extLst>
            <a:ext uri="{FF2B5EF4-FFF2-40B4-BE49-F238E27FC236}">
              <a16:creationId xmlns:a16="http://schemas.microsoft.com/office/drawing/2014/main" id="{E60B4823-9132-4282-BCDC-9DB74E543596}"/>
            </a:ext>
          </a:extLst>
        </xdr:cNvPr>
        <xdr:cNvSpPr/>
      </xdr:nvSpPr>
      <xdr:spPr bwMode="auto">
        <a:xfrm>
          <a:off x="5410200" y="5048250"/>
          <a:ext cx="978408" cy="484632"/>
        </a:xfrm>
        <a:prstGeom prst="right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en-AU" sz="1100"/>
        </a:p>
      </xdr:txBody>
    </xdr:sp>
    <xdr:clientData/>
  </xdr:twoCellAnchor>
  <xdr:oneCellAnchor>
    <xdr:from>
      <xdr:col>4</xdr:col>
      <xdr:colOff>9525</xdr:colOff>
      <xdr:row>0</xdr:row>
      <xdr:rowOff>76200</xdr:rowOff>
    </xdr:from>
    <xdr:ext cx="9982200" cy="2346412"/>
    <xdr:sp macro="" textlink="">
      <xdr:nvSpPr>
        <xdr:cNvPr id="16" name="TextBox 15">
          <a:extLst>
            <a:ext uri="{FF2B5EF4-FFF2-40B4-BE49-F238E27FC236}">
              <a16:creationId xmlns:a16="http://schemas.microsoft.com/office/drawing/2014/main" id="{F7D6733B-D0CF-47FD-53FE-DC424E03BF40}"/>
            </a:ext>
          </a:extLst>
        </xdr:cNvPr>
        <xdr:cNvSpPr txBox="1"/>
      </xdr:nvSpPr>
      <xdr:spPr>
        <a:xfrm>
          <a:off x="390525" y="76200"/>
          <a:ext cx="9982200" cy="23464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600" b="1" i="0" u="none" strike="noStrike">
              <a:solidFill>
                <a:schemeClr val="tx1"/>
              </a:solidFill>
              <a:effectLst/>
              <a:latin typeface="+mn-lt"/>
              <a:ea typeface="+mn-ea"/>
              <a:cs typeface="+mn-cs"/>
            </a:rPr>
            <a:t>SUMMARY:</a:t>
          </a:r>
          <a:br>
            <a:rPr lang="en-AU" sz="1600" b="0" i="0" u="none" strike="noStrike">
              <a:solidFill>
                <a:schemeClr val="tx1"/>
              </a:solidFill>
              <a:effectLst/>
              <a:latin typeface="+mn-lt"/>
              <a:ea typeface="+mn-ea"/>
              <a:cs typeface="+mn-cs"/>
            </a:rPr>
          </a:br>
          <a:r>
            <a:rPr lang="en-AU" sz="1600" b="0" i="0" u="none" strike="noStrike">
              <a:solidFill>
                <a:schemeClr val="tx1"/>
              </a:solidFill>
              <a:effectLst/>
              <a:latin typeface="+mn-lt"/>
              <a:ea typeface="+mn-ea"/>
              <a:cs typeface="+mn-cs"/>
            </a:rPr>
            <a:t>If your case is a knock-down and rebuild one, you'll need to provide the total flow rate. However, if your application is for any of the following two reasons, you only need to provide the </a:t>
          </a:r>
          <a:r>
            <a:rPr lang="en-AU" sz="1600" b="1" i="0" u="none" strike="noStrike">
              <a:solidFill>
                <a:schemeClr val="tx1"/>
              </a:solidFill>
              <a:effectLst/>
              <a:latin typeface="+mn-lt"/>
              <a:ea typeface="+mn-ea"/>
              <a:cs typeface="+mn-cs"/>
            </a:rPr>
            <a:t>additional flow rate</a:t>
          </a:r>
          <a:r>
            <a:rPr lang="en-AU" sz="1600" b="0" i="0" u="none" strike="noStrike">
              <a:solidFill>
                <a:schemeClr val="tx1"/>
              </a:solidFill>
              <a:effectLst/>
              <a:latin typeface="+mn-lt"/>
              <a:ea typeface="+mn-ea"/>
              <a:cs typeface="+mn-cs"/>
            </a:rPr>
            <a:t> only. </a:t>
          </a:r>
          <a:br>
            <a:rPr lang="en-AU" sz="1600" b="0" i="0" u="none" strike="noStrike">
              <a:solidFill>
                <a:schemeClr val="tx1"/>
              </a:solidFill>
              <a:effectLst/>
              <a:latin typeface="+mn-lt"/>
              <a:ea typeface="+mn-ea"/>
              <a:cs typeface="+mn-cs"/>
            </a:rPr>
          </a:br>
          <a:r>
            <a:rPr lang="en-AU" sz="1600" b="0" i="0" u="none" strike="noStrike">
              <a:solidFill>
                <a:schemeClr val="tx1"/>
              </a:solidFill>
              <a:effectLst/>
              <a:latin typeface="+mn-lt"/>
              <a:ea typeface="+mn-ea"/>
              <a:cs typeface="+mn-cs"/>
            </a:rPr>
            <a:t>  ~ making modifications or alterations to an existing property without completely demolishing it (eg. adding a swimming pool to an existing hotel, increasing the number of beds in an existing hospital, etc.)</a:t>
          </a:r>
          <a:br>
            <a:rPr lang="en-AU" sz="1600" b="0" i="0" u="none" strike="noStrike">
              <a:solidFill>
                <a:schemeClr val="tx1"/>
              </a:solidFill>
              <a:effectLst/>
              <a:latin typeface="+mn-lt"/>
              <a:ea typeface="+mn-ea"/>
              <a:cs typeface="+mn-cs"/>
            </a:rPr>
          </a:br>
          <a:r>
            <a:rPr lang="en-AU" sz="1600" b="0" i="0" u="none" strike="noStrike">
              <a:solidFill>
                <a:schemeClr val="tx1"/>
              </a:solidFill>
              <a:effectLst/>
              <a:latin typeface="+mn-lt"/>
              <a:ea typeface="+mn-ea"/>
              <a:cs typeface="+mn-cs"/>
            </a:rPr>
            <a:t>  ~ adding an extension (eg. adding a separate building to an existing school for special-needs kids on a vacant land within the school boundary, etc.).</a:t>
          </a:r>
          <a:br>
            <a:rPr lang="en-AU" sz="1600" b="0" i="0" u="none" strike="noStrike">
              <a:solidFill>
                <a:schemeClr val="tx1"/>
              </a:solidFill>
              <a:effectLst/>
              <a:latin typeface="+mn-lt"/>
              <a:ea typeface="+mn-ea"/>
              <a:cs typeface="+mn-cs"/>
            </a:rPr>
          </a:br>
          <a:br>
            <a:rPr lang="en-AU" sz="1600" b="0" i="0" u="none" strike="noStrike">
              <a:solidFill>
                <a:schemeClr val="tx1"/>
              </a:solidFill>
              <a:effectLst/>
              <a:latin typeface="+mn-lt"/>
              <a:ea typeface="+mn-ea"/>
              <a:cs typeface="+mn-cs"/>
            </a:rPr>
          </a:br>
          <a:r>
            <a:rPr lang="en-AU" sz="1600" b="0" i="0" u="none" strike="noStrike">
              <a:solidFill>
                <a:schemeClr val="tx1"/>
              </a:solidFill>
              <a:effectLst/>
              <a:latin typeface="+mn-lt"/>
              <a:ea typeface="+mn-ea"/>
              <a:cs typeface="+mn-cs"/>
            </a:rPr>
            <a:t>Check some examples in '</a:t>
          </a:r>
          <a:r>
            <a:rPr lang="en-AU" sz="1600" b="1" i="1" u="none" strike="noStrike">
              <a:solidFill>
                <a:schemeClr val="tx1"/>
              </a:solidFill>
              <a:effectLst/>
              <a:latin typeface="+mn-lt"/>
              <a:ea typeface="+mn-ea"/>
              <a:cs typeface="+mn-cs"/>
            </a:rPr>
            <a:t>Concept of Additional Demand</a:t>
          </a:r>
          <a:r>
            <a:rPr lang="en-AU" sz="1600" b="0" i="0" u="none" strike="noStrike">
              <a:solidFill>
                <a:schemeClr val="tx1"/>
              </a:solidFill>
              <a:effectLst/>
              <a:latin typeface="+mn-lt"/>
              <a:ea typeface="+mn-ea"/>
              <a:cs typeface="+mn-cs"/>
            </a:rPr>
            <a:t>' sheet.</a:t>
          </a:r>
          <a:r>
            <a:rPr lang="en-AU" sz="1600"/>
            <a:t> </a:t>
          </a:r>
        </a:p>
      </xdr:txBody>
    </xdr:sp>
    <xdr:clientData/>
  </xdr:oneCellAnchor>
  <xdr:twoCellAnchor>
    <xdr:from>
      <xdr:col>28</xdr:col>
      <xdr:colOff>66675</xdr:colOff>
      <xdr:row>27</xdr:row>
      <xdr:rowOff>28575</xdr:rowOff>
    </xdr:from>
    <xdr:to>
      <xdr:col>32</xdr:col>
      <xdr:colOff>206883</xdr:colOff>
      <xdr:row>30</xdr:row>
      <xdr:rowOff>27432</xdr:rowOff>
    </xdr:to>
    <xdr:sp macro="" textlink="">
      <xdr:nvSpPr>
        <xdr:cNvPr id="18" name="Arrow: Right 17">
          <a:extLst>
            <a:ext uri="{FF2B5EF4-FFF2-40B4-BE49-F238E27FC236}">
              <a16:creationId xmlns:a16="http://schemas.microsoft.com/office/drawing/2014/main" id="{4DC7CD8A-25C1-4003-A672-CB8293EC9115}"/>
            </a:ext>
          </a:extLst>
        </xdr:cNvPr>
        <xdr:cNvSpPr/>
      </xdr:nvSpPr>
      <xdr:spPr bwMode="auto">
        <a:xfrm>
          <a:off x="5476875" y="1171575"/>
          <a:ext cx="978408" cy="484632"/>
        </a:xfrm>
        <a:prstGeom prst="right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en-AU" sz="1100"/>
        </a:p>
      </xdr:txBody>
    </xdr:sp>
    <xdr:clientData/>
  </xdr:twoCellAnchor>
  <xdr:twoCellAnchor>
    <xdr:from>
      <xdr:col>27</xdr:col>
      <xdr:colOff>200025</xdr:colOff>
      <xdr:row>101</xdr:row>
      <xdr:rowOff>85725</xdr:rowOff>
    </xdr:from>
    <xdr:to>
      <xdr:col>32</xdr:col>
      <xdr:colOff>130683</xdr:colOff>
      <xdr:row>104</xdr:row>
      <xdr:rowOff>84582</xdr:rowOff>
    </xdr:to>
    <xdr:sp macro="" textlink="">
      <xdr:nvSpPr>
        <xdr:cNvPr id="19" name="Arrow: Right 18">
          <a:extLst>
            <a:ext uri="{FF2B5EF4-FFF2-40B4-BE49-F238E27FC236}">
              <a16:creationId xmlns:a16="http://schemas.microsoft.com/office/drawing/2014/main" id="{1D7CC2D7-0505-4E9B-B2D4-A99D981A118F}"/>
            </a:ext>
          </a:extLst>
        </xdr:cNvPr>
        <xdr:cNvSpPr/>
      </xdr:nvSpPr>
      <xdr:spPr bwMode="auto">
        <a:xfrm>
          <a:off x="5400675" y="13268325"/>
          <a:ext cx="978408" cy="484632"/>
        </a:xfrm>
        <a:prstGeom prst="right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en-AU" sz="1100"/>
        </a:p>
      </xdr:txBody>
    </xdr:sp>
    <xdr:clientData/>
  </xdr:twoCellAnchor>
  <xdr:twoCellAnchor>
    <xdr:from>
      <xdr:col>28</xdr:col>
      <xdr:colOff>95250</xdr:colOff>
      <xdr:row>127</xdr:row>
      <xdr:rowOff>28575</xdr:rowOff>
    </xdr:from>
    <xdr:to>
      <xdr:col>33</xdr:col>
      <xdr:colOff>25908</xdr:colOff>
      <xdr:row>130</xdr:row>
      <xdr:rowOff>27432</xdr:rowOff>
    </xdr:to>
    <xdr:sp macro="" textlink="">
      <xdr:nvSpPr>
        <xdr:cNvPr id="21" name="Arrow: Right 20">
          <a:extLst>
            <a:ext uri="{FF2B5EF4-FFF2-40B4-BE49-F238E27FC236}">
              <a16:creationId xmlns:a16="http://schemas.microsoft.com/office/drawing/2014/main" id="{DDA4F895-EEE4-4045-875D-5B4251062A56}"/>
            </a:ext>
          </a:extLst>
        </xdr:cNvPr>
        <xdr:cNvSpPr/>
      </xdr:nvSpPr>
      <xdr:spPr bwMode="auto">
        <a:xfrm>
          <a:off x="5505450" y="17440275"/>
          <a:ext cx="978408" cy="484632"/>
        </a:xfrm>
        <a:prstGeom prst="right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en-AU" sz="1100"/>
        </a:p>
      </xdr:txBody>
    </xdr:sp>
    <xdr:clientData/>
  </xdr:twoCellAnchor>
  <xdr:twoCellAnchor>
    <xdr:from>
      <xdr:col>27</xdr:col>
      <xdr:colOff>0</xdr:colOff>
      <xdr:row>150</xdr:row>
      <xdr:rowOff>152400</xdr:rowOff>
    </xdr:from>
    <xdr:to>
      <xdr:col>31</xdr:col>
      <xdr:colOff>140208</xdr:colOff>
      <xdr:row>153</xdr:row>
      <xdr:rowOff>151257</xdr:rowOff>
    </xdr:to>
    <xdr:sp macro="" textlink="">
      <xdr:nvSpPr>
        <xdr:cNvPr id="25" name="Arrow: Right 24">
          <a:extLst>
            <a:ext uri="{FF2B5EF4-FFF2-40B4-BE49-F238E27FC236}">
              <a16:creationId xmlns:a16="http://schemas.microsoft.com/office/drawing/2014/main" id="{8A306A02-23BD-47B4-BEE2-32816170861C}"/>
            </a:ext>
          </a:extLst>
        </xdr:cNvPr>
        <xdr:cNvSpPr/>
      </xdr:nvSpPr>
      <xdr:spPr bwMode="auto">
        <a:xfrm>
          <a:off x="5200650" y="21297900"/>
          <a:ext cx="978408" cy="484632"/>
        </a:xfrm>
        <a:prstGeom prst="right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en-AU" sz="1100"/>
        </a:p>
      </xdr:txBody>
    </xdr:sp>
    <xdr:clientData/>
  </xdr:twoCellAnchor>
  <xdr:twoCellAnchor>
    <xdr:from>
      <xdr:col>26</xdr:col>
      <xdr:colOff>200025</xdr:colOff>
      <xdr:row>166</xdr:row>
      <xdr:rowOff>142875</xdr:rowOff>
    </xdr:from>
    <xdr:to>
      <xdr:col>31</xdr:col>
      <xdr:colOff>130683</xdr:colOff>
      <xdr:row>169</xdr:row>
      <xdr:rowOff>141732</xdr:rowOff>
    </xdr:to>
    <xdr:sp macro="" textlink="">
      <xdr:nvSpPr>
        <xdr:cNvPr id="26" name="Arrow: Right 25">
          <a:extLst>
            <a:ext uri="{FF2B5EF4-FFF2-40B4-BE49-F238E27FC236}">
              <a16:creationId xmlns:a16="http://schemas.microsoft.com/office/drawing/2014/main" id="{5419FEDA-0D91-4260-9553-F1E848A14AF6}"/>
            </a:ext>
          </a:extLst>
        </xdr:cNvPr>
        <xdr:cNvSpPr/>
      </xdr:nvSpPr>
      <xdr:spPr bwMode="auto">
        <a:xfrm>
          <a:off x="5191125" y="23879175"/>
          <a:ext cx="978408" cy="484632"/>
        </a:xfrm>
        <a:prstGeom prst="right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en-AU" sz="1100"/>
        </a:p>
      </xdr:txBody>
    </xdr:sp>
    <xdr:clientData/>
  </xdr:twoCellAnchor>
  <xdr:twoCellAnchor editAs="absolute">
    <xdr:from>
      <xdr:col>64</xdr:col>
      <xdr:colOff>152400</xdr:colOff>
      <xdr:row>147</xdr:row>
      <xdr:rowOff>34290</xdr:rowOff>
    </xdr:from>
    <xdr:to>
      <xdr:col>82</xdr:col>
      <xdr:colOff>152400</xdr:colOff>
      <xdr:row>162</xdr:row>
      <xdr:rowOff>0</xdr:rowOff>
    </xdr:to>
    <xdr:sp macro="" textlink="">
      <xdr:nvSpPr>
        <xdr:cNvPr id="27" name="TextBox 26">
          <a:extLst>
            <a:ext uri="{FF2B5EF4-FFF2-40B4-BE49-F238E27FC236}">
              <a16:creationId xmlns:a16="http://schemas.microsoft.com/office/drawing/2014/main" id="{CF22C43A-E924-4739-9DCA-AFF7734C6BA5}"/>
            </a:ext>
          </a:extLst>
        </xdr:cNvPr>
        <xdr:cNvSpPr txBox="1"/>
      </xdr:nvSpPr>
      <xdr:spPr>
        <a:xfrm>
          <a:off x="13106400" y="23469600"/>
          <a:ext cx="3771900" cy="2400300"/>
        </a:xfrm>
        <a:prstGeom prst="rect">
          <a:avLst/>
        </a:prstGeom>
        <a:solidFill>
          <a:schemeClr val="accent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chemeClr val="dk1"/>
              </a:solidFill>
              <a:effectLst/>
              <a:latin typeface="+mn-lt"/>
              <a:ea typeface="+mn-ea"/>
              <a:cs typeface="+mn-cs"/>
            </a:rPr>
            <a:t>Example</a:t>
          </a:r>
        </a:p>
        <a:p>
          <a:r>
            <a:rPr lang="en-AU" sz="1100">
              <a:solidFill>
                <a:schemeClr val="dk1"/>
              </a:solidFill>
              <a:effectLst/>
              <a:latin typeface="+mn-lt"/>
              <a:ea typeface="+mn-ea"/>
              <a:cs typeface="+mn-cs"/>
            </a:rPr>
            <a:t>The tables on the</a:t>
          </a:r>
          <a:r>
            <a:rPr lang="en-AU" sz="1100" baseline="0">
              <a:solidFill>
                <a:schemeClr val="dk1"/>
              </a:solidFill>
              <a:effectLst/>
              <a:latin typeface="+mn-lt"/>
              <a:ea typeface="+mn-ea"/>
              <a:cs typeface="+mn-cs"/>
            </a:rPr>
            <a:t> left are real time examples from flow submission</a:t>
          </a:r>
          <a:r>
            <a:rPr lang="en-AU" sz="1100">
              <a:solidFill>
                <a:schemeClr val="dk1"/>
              </a:solidFill>
              <a:effectLst/>
              <a:latin typeface="+mn-lt"/>
              <a:ea typeface="+mn-ea"/>
              <a:cs typeface="+mn-cs"/>
            </a:rPr>
            <a:t>.</a:t>
          </a:r>
          <a:r>
            <a:rPr lang="en-AU" sz="1100" baseline="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The proposal is to construct an additional building in the existing school compound.</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This will increase the number of students.</a:t>
          </a:r>
          <a:endParaRPr lang="en-AU">
            <a:effectLst/>
          </a:endParaRPr>
        </a:p>
        <a:p>
          <a:endParaRPr lang="en-AU" sz="1100" baseline="0">
            <a:solidFill>
              <a:schemeClr val="dk1"/>
            </a:solidFill>
            <a:effectLst/>
            <a:latin typeface="+mn-lt"/>
            <a:ea typeface="+mn-ea"/>
            <a:cs typeface="+mn-cs"/>
          </a:endParaRPr>
        </a:p>
        <a:p>
          <a:r>
            <a:rPr lang="en-AU" sz="1100" i="1" baseline="0">
              <a:solidFill>
                <a:schemeClr val="dk1"/>
              </a:solidFill>
              <a:effectLst/>
              <a:latin typeface="+mn-lt"/>
              <a:ea typeface="+mn-ea"/>
              <a:cs typeface="+mn-cs"/>
            </a:rPr>
            <a:t>How do we find additional demand from these tables?</a:t>
          </a:r>
        </a:p>
        <a:p>
          <a:endParaRPr lang="en-AU" sz="1100" baseline="0">
            <a:solidFill>
              <a:schemeClr val="dk1"/>
            </a:solidFill>
            <a:effectLst/>
            <a:latin typeface="+mn-lt"/>
            <a:ea typeface="+mn-ea"/>
            <a:cs typeface="+mn-cs"/>
          </a:endParaRPr>
        </a:p>
        <a:p>
          <a:r>
            <a:rPr lang="en-AU" sz="1100" baseline="0">
              <a:solidFill>
                <a:schemeClr val="dk1"/>
              </a:solidFill>
              <a:effectLst/>
              <a:latin typeface="+mn-lt"/>
              <a:ea typeface="+mn-ea"/>
              <a:cs typeface="+mn-cs"/>
            </a:rPr>
            <a:t>The table below is used to demonstrate how to get additional flow. This tool entries should only be from the last column of the table below.</a:t>
          </a:r>
        </a:p>
      </xdr:txBody>
    </xdr:sp>
    <xdr:clientData/>
  </xdr:twoCellAnchor>
  <xdr:twoCellAnchor editAs="oneCell">
    <xdr:from>
      <xdr:col>4</xdr:col>
      <xdr:colOff>38099</xdr:colOff>
      <xdr:row>147</xdr:row>
      <xdr:rowOff>0</xdr:rowOff>
    </xdr:from>
    <xdr:to>
      <xdr:col>24</xdr:col>
      <xdr:colOff>34950</xdr:colOff>
      <xdr:row>157</xdr:row>
      <xdr:rowOff>41910</xdr:rowOff>
    </xdr:to>
    <xdr:pic>
      <xdr:nvPicPr>
        <xdr:cNvPr id="28" name="Picture 27">
          <a:extLst>
            <a:ext uri="{FF2B5EF4-FFF2-40B4-BE49-F238E27FC236}">
              <a16:creationId xmlns:a16="http://schemas.microsoft.com/office/drawing/2014/main" id="{712EC2AB-32A6-F3D8-26E8-953CC49713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099" y="23441025"/>
          <a:ext cx="4187851"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19049</xdr:colOff>
      <xdr:row>147</xdr:row>
      <xdr:rowOff>0</xdr:rowOff>
    </xdr:from>
    <xdr:to>
      <xdr:col>55</xdr:col>
      <xdr:colOff>31140</xdr:colOff>
      <xdr:row>157</xdr:row>
      <xdr:rowOff>41910</xdr:rowOff>
    </xdr:to>
    <xdr:pic>
      <xdr:nvPicPr>
        <xdr:cNvPr id="29" name="Picture 28">
          <a:extLst>
            <a:ext uri="{FF2B5EF4-FFF2-40B4-BE49-F238E27FC236}">
              <a16:creationId xmlns:a16="http://schemas.microsoft.com/office/drawing/2014/main" id="{2A27689C-41EC-C8FF-EE50-DEADFB92E1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6099" y="23441025"/>
          <a:ext cx="4187851"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209549</xdr:colOff>
      <xdr:row>163</xdr:row>
      <xdr:rowOff>0</xdr:rowOff>
    </xdr:from>
    <xdr:to>
      <xdr:col>24</xdr:col>
      <xdr:colOff>660</xdr:colOff>
      <xdr:row>173</xdr:row>
      <xdr:rowOff>41910</xdr:rowOff>
    </xdr:to>
    <xdr:pic>
      <xdr:nvPicPr>
        <xdr:cNvPr id="30" name="Picture 29">
          <a:extLst>
            <a:ext uri="{FF2B5EF4-FFF2-40B4-BE49-F238E27FC236}">
              <a16:creationId xmlns:a16="http://schemas.microsoft.com/office/drawing/2014/main" id="{BB2900E9-4F60-77EB-9CEA-EEB094F0CC6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0999" y="26031825"/>
          <a:ext cx="4187851"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209549</xdr:colOff>
      <xdr:row>163</xdr:row>
      <xdr:rowOff>0</xdr:rowOff>
    </xdr:from>
    <xdr:to>
      <xdr:col>55</xdr:col>
      <xdr:colOff>660</xdr:colOff>
      <xdr:row>173</xdr:row>
      <xdr:rowOff>41910</xdr:rowOff>
    </xdr:to>
    <xdr:pic>
      <xdr:nvPicPr>
        <xdr:cNvPr id="31" name="Picture 30">
          <a:extLst>
            <a:ext uri="{FF2B5EF4-FFF2-40B4-BE49-F238E27FC236}">
              <a16:creationId xmlns:a16="http://schemas.microsoft.com/office/drawing/2014/main" id="{3992F12B-EDED-91F8-C09A-57E09028C0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77049" y="26031825"/>
          <a:ext cx="4187851"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247650</xdr:colOff>
      <xdr:row>11</xdr:row>
      <xdr:rowOff>0</xdr:rowOff>
    </xdr:from>
    <xdr:to>
      <xdr:col>27</xdr:col>
      <xdr:colOff>21315</xdr:colOff>
      <xdr:row>25</xdr:row>
      <xdr:rowOff>133685</xdr:rowOff>
    </xdr:to>
    <xdr:pic>
      <xdr:nvPicPr>
        <xdr:cNvPr id="2" name="Picture 1">
          <a:extLst>
            <a:ext uri="{FF2B5EF4-FFF2-40B4-BE49-F238E27FC236}">
              <a16:creationId xmlns:a16="http://schemas.microsoft.com/office/drawing/2014/main" id="{5B6AF35C-B6D0-E821-85CD-5381A94CB7B0}"/>
            </a:ext>
          </a:extLst>
        </xdr:cNvPr>
        <xdr:cNvPicPr>
          <a:picLocks noChangeAspect="1"/>
        </xdr:cNvPicPr>
      </xdr:nvPicPr>
      <xdr:blipFill>
        <a:blip xmlns:r="http://schemas.openxmlformats.org/officeDocument/2006/relationships" r:embed="rId1"/>
        <a:stretch>
          <a:fillRect/>
        </a:stretch>
      </xdr:blipFill>
      <xdr:spPr>
        <a:xfrm>
          <a:off x="247650" y="1781175"/>
          <a:ext cx="16232865" cy="24006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3931919</xdr:colOff>
      <xdr:row>20</xdr:row>
      <xdr:rowOff>142875</xdr:rowOff>
    </xdr:from>
    <xdr:to>
      <xdr:col>2</xdr:col>
      <xdr:colOff>524851</xdr:colOff>
      <xdr:row>39</xdr:row>
      <xdr:rowOff>127635</xdr:rowOff>
    </xdr:to>
    <xdr:pic>
      <xdr:nvPicPr>
        <xdr:cNvPr id="2" name="Picture 1">
          <a:extLst>
            <a:ext uri="{FF2B5EF4-FFF2-40B4-BE49-F238E27FC236}">
              <a16:creationId xmlns:a16="http://schemas.microsoft.com/office/drawing/2014/main" id="{20766A44-8468-48F9-BE74-09A049E33CE1}"/>
            </a:ext>
          </a:extLst>
        </xdr:cNvPr>
        <xdr:cNvPicPr>
          <a:picLocks noChangeAspect="1"/>
        </xdr:cNvPicPr>
      </xdr:nvPicPr>
      <xdr:blipFill>
        <a:blip xmlns:r="http://schemas.openxmlformats.org/officeDocument/2006/relationships" r:embed="rId1"/>
        <a:stretch>
          <a:fillRect/>
        </a:stretch>
      </xdr:blipFill>
      <xdr:spPr>
        <a:xfrm>
          <a:off x="4179569" y="3867150"/>
          <a:ext cx="3041357" cy="3061335"/>
        </a:xfrm>
        <a:prstGeom prst="rect">
          <a:avLst/>
        </a:prstGeom>
      </xdr:spPr>
    </xdr:pic>
    <xdr:clientData/>
  </xdr:twoCellAnchor>
  <xdr:twoCellAnchor editAs="oneCell">
    <xdr:from>
      <xdr:col>1</xdr:col>
      <xdr:colOff>428624</xdr:colOff>
      <xdr:row>20</xdr:row>
      <xdr:rowOff>137160</xdr:rowOff>
    </xdr:from>
    <xdr:to>
      <xdr:col>1</xdr:col>
      <xdr:colOff>3420912</xdr:colOff>
      <xdr:row>40</xdr:row>
      <xdr:rowOff>104775</xdr:rowOff>
    </xdr:to>
    <xdr:pic>
      <xdr:nvPicPr>
        <xdr:cNvPr id="3" name="Picture 2">
          <a:extLst>
            <a:ext uri="{FF2B5EF4-FFF2-40B4-BE49-F238E27FC236}">
              <a16:creationId xmlns:a16="http://schemas.microsoft.com/office/drawing/2014/main" id="{3A89C2C6-544B-7564-FB79-1AFDAEC6F27B}"/>
            </a:ext>
          </a:extLst>
        </xdr:cNvPr>
        <xdr:cNvPicPr>
          <a:picLocks noChangeAspect="1"/>
        </xdr:cNvPicPr>
      </xdr:nvPicPr>
      <xdr:blipFill>
        <a:blip xmlns:r="http://schemas.openxmlformats.org/officeDocument/2006/relationships" r:embed="rId2"/>
        <a:stretch>
          <a:fillRect/>
        </a:stretch>
      </xdr:blipFill>
      <xdr:spPr>
        <a:xfrm>
          <a:off x="676274" y="3861435"/>
          <a:ext cx="2992288" cy="32061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336658</xdr:colOff>
      <xdr:row>26</xdr:row>
      <xdr:rowOff>140904</xdr:rowOff>
    </xdr:from>
    <xdr:ext cx="9207391" cy="10755696"/>
    <xdr:sp macro="" textlink="">
      <xdr:nvSpPr>
        <xdr:cNvPr id="2" name="TextBox 1">
          <a:extLst>
            <a:ext uri="{FF2B5EF4-FFF2-40B4-BE49-F238E27FC236}">
              <a16:creationId xmlns:a16="http://schemas.microsoft.com/office/drawing/2014/main" id="{EFB7C677-F38E-F971-BF07-62F56998FA84}"/>
            </a:ext>
          </a:extLst>
        </xdr:cNvPr>
        <xdr:cNvSpPr txBox="1"/>
      </xdr:nvSpPr>
      <xdr:spPr>
        <a:xfrm>
          <a:off x="1422508" y="5017704"/>
          <a:ext cx="9207391" cy="10755696"/>
        </a:xfrm>
        <a:prstGeom prst="rect">
          <a:avLst/>
        </a:prstGeom>
        <a:solidFill>
          <a:schemeClr val="bg1">
            <a:lumMod val="95000"/>
          </a:schemeClr>
        </a:solidFill>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AU" sz="1100"/>
            <a:t>COLUMN H5 (PW)</a:t>
          </a:r>
        </a:p>
        <a:p>
          <a:r>
            <a:rPr lang="en-AU" sz="1100" b="1"/>
            <a:t>=</a:t>
          </a:r>
          <a:r>
            <a:rPr lang="en-AU" sz="1100" b="1">
              <a:solidFill>
                <a:srgbClr val="C00000"/>
              </a:solidFill>
            </a:rPr>
            <a:t>IFERROR(</a:t>
          </a:r>
        </a:p>
        <a:p>
          <a:r>
            <a:rPr lang="en-AU" sz="1100" b="1">
              <a:solidFill>
                <a:srgbClr val="7030A0"/>
              </a:solidFill>
            </a:rPr>
            <a:t>SWITCH($O5,"Residential",</a:t>
          </a:r>
        </a:p>
        <a:p>
          <a:endParaRPr lang="en-AU" sz="1100"/>
        </a:p>
        <a:p>
          <a:r>
            <a:rPr lang="en-AU" sz="1100" b="1" i="1">
              <a:solidFill>
                <a:srgbClr val="0070C0"/>
              </a:solidFill>
            </a:rPr>
            <a:t>SWITCH($E5,</a:t>
          </a:r>
        </a:p>
        <a:p>
          <a:r>
            <a:rPr lang="en-AU" sz="1100" b="1" i="1">
              <a:solidFill>
                <a:srgbClr val="0070C0"/>
              </a:solidFill>
            </a:rPr>
            <a:t>	"Yes - PW&amp;RW (Std value)", VLOOKUP($B5,ADWUT!$B$11:$K$999,9,FALSE)*$D5, </a:t>
          </a:r>
        </a:p>
        <a:p>
          <a:r>
            <a:rPr lang="en-AU" sz="1100" b="1" i="1">
              <a:solidFill>
                <a:srgbClr val="0070C0"/>
              </a:solidFill>
            </a:rPr>
            <a:t>	"No - PW only (Std value)", VLOOKUP($B5,ADWUT!$B$11:$K$999,4,FALSE)*$D5, </a:t>
          </a:r>
        </a:p>
        <a:p>
          <a:r>
            <a:rPr lang="en-AU" sz="1100" b="1" i="1">
              <a:solidFill>
                <a:srgbClr val="0070C0"/>
              </a:solidFill>
            </a:rPr>
            <a:t>	"Other PW &amp; RW ratio", "Consultant entry required", </a:t>
          </a:r>
        </a:p>
        <a:p>
          <a:r>
            <a:rPr lang="en-AU" sz="1100" b="1" i="1">
              <a:solidFill>
                <a:srgbClr val="0070C0"/>
              </a:solidFill>
            </a:rPr>
            <a:t>	"Other PW only","Consultant entry required",</a:t>
          </a:r>
        </a:p>
        <a:p>
          <a:r>
            <a:rPr lang="en-AU" sz="1100" b="1" i="1">
              <a:solidFill>
                <a:srgbClr val="0070C0"/>
              </a:solidFill>
            </a:rPr>
            <a:t>"PW not required"),</a:t>
          </a:r>
        </a:p>
        <a:p>
          <a:endParaRPr lang="en-AU" sz="1100"/>
        </a:p>
        <a:p>
          <a:r>
            <a:rPr lang="en-AU" sz="1100" b="1">
              <a:solidFill>
                <a:srgbClr val="7030A0"/>
              </a:solidFill>
            </a:rPr>
            <a:t>"Non-residential",</a:t>
          </a:r>
        </a:p>
        <a:p>
          <a:endParaRPr lang="en-AU" sz="1100" b="1">
            <a:solidFill>
              <a:srgbClr val="7030A0"/>
            </a:solidFill>
          </a:endParaRPr>
        </a:p>
        <a:p>
          <a:r>
            <a:rPr lang="en-AU" sz="1100" b="1" i="1">
              <a:solidFill>
                <a:schemeClr val="accent6">
                  <a:lumMod val="75000"/>
                </a:schemeClr>
              </a:solidFill>
            </a:rPr>
            <a:t>SWITCH($E5,</a:t>
          </a:r>
        </a:p>
        <a:p>
          <a:r>
            <a:rPr lang="en-AU" sz="1100" b="1" i="1">
              <a:solidFill>
                <a:schemeClr val="accent6">
                  <a:lumMod val="75000"/>
                </a:schemeClr>
              </a:solidFill>
            </a:rPr>
            <a:t>	"Yes - PW&amp;RW (Std value)", VLOOKUP($B5,ADWUT!$B$11:$K$999,4,FALSE)*VLOOKUP($B5,ADWUT!$B$11:$K$999,9,FALSE)*$D5, </a:t>
          </a:r>
        </a:p>
        <a:p>
          <a:r>
            <a:rPr lang="en-AU" sz="1100" b="1" i="1">
              <a:solidFill>
                <a:schemeClr val="accent6">
                  <a:lumMod val="75000"/>
                </a:schemeClr>
              </a:solidFill>
            </a:rPr>
            <a:t>	"No - PW only (Std value)", VLOOKUP($B5,ADWUT!$B$11:$K$999,4,FALSE)*$D5, </a:t>
          </a:r>
        </a:p>
        <a:p>
          <a:r>
            <a:rPr lang="en-AU" sz="1100" b="1" i="1">
              <a:solidFill>
                <a:schemeClr val="accent6">
                  <a:lumMod val="75000"/>
                </a:schemeClr>
              </a:solidFill>
              <a:effectLst/>
              <a:latin typeface="+mn-lt"/>
              <a:ea typeface="+mn-ea"/>
              <a:cs typeface="+mn-cs"/>
            </a:rPr>
            <a:t>	"Other PW &amp; </a:t>
          </a:r>
          <a:r>
            <a:rPr lang="en-AU" sz="1100" b="1" i="1">
              <a:solidFill>
                <a:schemeClr val="accent6">
                  <a:lumMod val="75000"/>
                </a:schemeClr>
              </a:solidFill>
              <a:latin typeface="+mn-lt"/>
              <a:ea typeface="+mn-ea"/>
              <a:cs typeface="+mn-cs"/>
            </a:rPr>
            <a:t>RW ratio", "Consultant entry required", </a:t>
          </a:r>
        </a:p>
        <a:p>
          <a:r>
            <a:rPr lang="en-AU" sz="1100" b="1" i="1">
              <a:solidFill>
                <a:schemeClr val="accent6">
                  <a:lumMod val="75000"/>
                </a:schemeClr>
              </a:solidFill>
              <a:latin typeface="+mn-lt"/>
              <a:ea typeface="+mn-ea"/>
              <a:cs typeface="+mn-cs"/>
            </a:rPr>
            <a:t>	"Other </a:t>
          </a:r>
          <a:r>
            <a:rPr lang="en-AU" sz="1100" b="1" i="1">
              <a:solidFill>
                <a:schemeClr val="accent6">
                  <a:lumMod val="75000"/>
                </a:schemeClr>
              </a:solidFill>
              <a:effectLst/>
              <a:latin typeface="+mn-lt"/>
              <a:ea typeface="+mn-ea"/>
              <a:cs typeface="+mn-cs"/>
            </a:rPr>
            <a:t>PW only"</a:t>
          </a:r>
          <a:r>
            <a:rPr lang="en-AU" sz="1100" b="1" i="1">
              <a:solidFill>
                <a:schemeClr val="accent6">
                  <a:lumMod val="75000"/>
                </a:schemeClr>
              </a:solidFill>
            </a:rPr>
            <a:t>,"Consultant entry required",</a:t>
          </a:r>
        </a:p>
        <a:p>
          <a:r>
            <a:rPr lang="en-AU" sz="1100" b="1" i="1">
              <a:solidFill>
                <a:schemeClr val="accent6">
                  <a:lumMod val="75000"/>
                </a:schemeClr>
              </a:solidFill>
            </a:rPr>
            <a:t>"PW&amp;RW not required"),</a:t>
          </a:r>
          <a:r>
            <a:rPr lang="en-AU" sz="1100"/>
            <a:t> </a:t>
          </a:r>
        </a:p>
        <a:p>
          <a:endParaRPr lang="en-AU" sz="1100"/>
        </a:p>
        <a:p>
          <a:r>
            <a:rPr lang="en-AU" sz="1100" b="1">
              <a:solidFill>
                <a:srgbClr val="7030A0"/>
              </a:solidFill>
            </a:rPr>
            <a:t>"Non-res special", </a:t>
          </a:r>
        </a:p>
        <a:p>
          <a:endParaRPr lang="en-AU" sz="1100" b="1">
            <a:solidFill>
              <a:srgbClr val="7030A0"/>
            </a:solidFill>
          </a:endParaRPr>
        </a:p>
        <a:p>
          <a:r>
            <a:rPr lang="en-AU" sz="1100" b="1">
              <a:solidFill>
                <a:schemeClr val="accent2">
                  <a:lumMod val="75000"/>
                </a:schemeClr>
              </a:solidFill>
            </a:rPr>
            <a:t>IF($E5="PW&amp;RW not required", "Not required","Consultant entry required")</a:t>
          </a:r>
        </a:p>
        <a:p>
          <a:r>
            <a:rPr lang="en-AU" sz="1100" b="1">
              <a:solidFill>
                <a:srgbClr val="7030A0"/>
              </a:solidFill>
            </a:rPr>
            <a:t>), </a:t>
          </a:r>
          <a:r>
            <a:rPr lang="en-AU" sz="1100" b="1">
              <a:solidFill>
                <a:srgbClr val="C00000"/>
              </a:solidFill>
            </a:rPr>
            <a:t>"")</a:t>
          </a:r>
        </a:p>
        <a:p>
          <a:r>
            <a:rPr lang="en-AU" sz="1100" b="1">
              <a:solidFill>
                <a:srgbClr val="C0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tx1"/>
              </a:solidFill>
              <a:effectLst/>
              <a:latin typeface="+mn-lt"/>
              <a:ea typeface="+mn-ea"/>
              <a:cs typeface="+mn-cs"/>
            </a:rPr>
            <a:t>COLUMN I5 (RW)</a:t>
          </a:r>
          <a:endParaRPr lang="en-AU">
            <a:effectLst/>
          </a:endParaRPr>
        </a:p>
        <a:p>
          <a:endParaRPr lang="en-AU" sz="1100" b="1">
            <a:solidFill>
              <a:srgbClr val="C00000"/>
            </a:solidFill>
          </a:endParaRPr>
        </a:p>
        <a:p>
          <a:r>
            <a:rPr lang="en-AU" sz="1100" b="1">
              <a:solidFill>
                <a:srgbClr val="C00000"/>
              </a:solidFill>
            </a:rPr>
            <a:t>=IFERROR(</a:t>
          </a:r>
        </a:p>
        <a:p>
          <a:pPr marL="0" indent="0"/>
          <a:r>
            <a:rPr lang="en-AU" sz="1100" b="1">
              <a:solidFill>
                <a:srgbClr val="7030A0"/>
              </a:solidFill>
              <a:latin typeface="+mn-lt"/>
              <a:ea typeface="+mn-ea"/>
              <a:cs typeface="+mn-cs"/>
            </a:rPr>
            <a:t>SWITCH($O5,"Residential",</a:t>
          </a:r>
        </a:p>
        <a:p>
          <a:endParaRPr lang="en-AU" sz="1100" b="1">
            <a:solidFill>
              <a:srgbClr val="C00000"/>
            </a:solidFill>
          </a:endParaRPr>
        </a:p>
        <a:p>
          <a:pPr marL="0" indent="0"/>
          <a:r>
            <a:rPr lang="en-AU" sz="1100" b="1" i="1">
              <a:solidFill>
                <a:srgbClr val="0070C0"/>
              </a:solidFill>
              <a:latin typeface="+mn-lt"/>
              <a:ea typeface="+mn-ea"/>
              <a:cs typeface="+mn-cs"/>
            </a:rPr>
            <a:t>SWITCH($E5,</a:t>
          </a:r>
        </a:p>
        <a:p>
          <a:pPr marL="0" indent="0"/>
          <a:r>
            <a:rPr lang="en-AU" sz="1100" b="1" i="1">
              <a:solidFill>
                <a:srgbClr val="0070C0"/>
              </a:solidFill>
              <a:latin typeface="+mn-lt"/>
              <a:ea typeface="+mn-ea"/>
              <a:cs typeface="+mn-cs"/>
            </a:rPr>
            <a:t>	"Yes - PW&amp;RW (Std value)",VLOOKUP($B5,ADWUT!$B$11:$K$999,10,FALSE)*$D5,</a:t>
          </a:r>
        </a:p>
        <a:p>
          <a:pPr marL="0" indent="0"/>
          <a:r>
            <a:rPr lang="en-AU" sz="1100" b="1" i="1">
              <a:solidFill>
                <a:srgbClr val="0070C0"/>
              </a:solidFill>
              <a:latin typeface="+mn-lt"/>
              <a:ea typeface="+mn-ea"/>
              <a:cs typeface="+mn-cs"/>
            </a:rPr>
            <a:t>	"Other PW &amp; RW ratio","Consultant entry required", </a:t>
          </a:r>
        </a:p>
        <a:p>
          <a:pPr marL="0" indent="0"/>
          <a:r>
            <a:rPr lang="en-AU" sz="1100" b="1" i="1">
              <a:solidFill>
                <a:srgbClr val="0070C0"/>
              </a:solidFill>
              <a:latin typeface="+mn-lt"/>
              <a:ea typeface="+mn-ea"/>
              <a:cs typeface="+mn-cs"/>
            </a:rPr>
            <a:t>"RW not required"),</a:t>
          </a:r>
        </a:p>
        <a:p>
          <a:endParaRPr lang="en-AU" sz="1100" b="1">
            <a:solidFill>
              <a:srgbClr val="C00000"/>
            </a:solidFill>
          </a:endParaRPr>
        </a:p>
        <a:p>
          <a:pPr marL="0" indent="0"/>
          <a:r>
            <a:rPr lang="en-AU" sz="1100" b="1">
              <a:solidFill>
                <a:srgbClr val="7030A0"/>
              </a:solidFill>
              <a:latin typeface="+mn-lt"/>
              <a:ea typeface="+mn-ea"/>
              <a:cs typeface="+mn-cs"/>
            </a:rPr>
            <a:t>"Non-residential",</a:t>
          </a:r>
        </a:p>
        <a:p>
          <a:endParaRPr lang="en-AU" sz="1100" b="1">
            <a:solidFill>
              <a:srgbClr val="C00000"/>
            </a:solidFill>
          </a:endParaRPr>
        </a:p>
        <a:p>
          <a:pPr marL="0" indent="0"/>
          <a:r>
            <a:rPr lang="en-AU" sz="1100" b="1" i="1">
              <a:solidFill>
                <a:schemeClr val="accent6">
                  <a:lumMod val="75000"/>
                </a:schemeClr>
              </a:solidFill>
              <a:latin typeface="+mn-lt"/>
              <a:ea typeface="+mn-ea"/>
              <a:cs typeface="+mn-cs"/>
            </a:rPr>
            <a:t>SWITCH($E5,</a:t>
          </a:r>
        </a:p>
        <a:p>
          <a:pPr marL="0" indent="0"/>
          <a:r>
            <a:rPr lang="en-AU" sz="1100" b="1" i="1">
              <a:solidFill>
                <a:schemeClr val="accent6">
                  <a:lumMod val="75000"/>
                </a:schemeClr>
              </a:solidFill>
              <a:latin typeface="+mn-lt"/>
              <a:ea typeface="+mn-ea"/>
              <a:cs typeface="+mn-cs"/>
            </a:rPr>
            <a:t>	"Yes - PW&amp;RW (Std value)",VLOOKUP($B5,ADWUT!$B$11:$K$999,4,FALSE)*VLOOKUP($B5,ADWUT!$B$11:$K$999,10,FALSE)*$D5,</a:t>
          </a:r>
        </a:p>
        <a:p>
          <a:pPr marL="0" indent="0"/>
          <a:r>
            <a:rPr lang="en-AU" sz="1100" b="1" i="1">
              <a:solidFill>
                <a:schemeClr val="accent6">
                  <a:lumMod val="75000"/>
                </a:schemeClr>
              </a:solidFill>
              <a:latin typeface="+mn-lt"/>
              <a:ea typeface="+mn-ea"/>
              <a:cs typeface="+mn-cs"/>
            </a:rPr>
            <a:t>	"Other PW &amp; RW ratio","Consultant entry required",</a:t>
          </a:r>
        </a:p>
        <a:p>
          <a:pPr marL="0" indent="0"/>
          <a:r>
            <a:rPr lang="en-AU" sz="1100" b="1" i="1">
              <a:solidFill>
                <a:schemeClr val="accent6">
                  <a:lumMod val="75000"/>
                </a:schemeClr>
              </a:solidFill>
              <a:latin typeface="+mn-lt"/>
              <a:ea typeface="+mn-ea"/>
              <a:cs typeface="+mn-cs"/>
            </a:rPr>
            <a:t>"PW&amp;RW not required"), </a:t>
          </a:r>
        </a:p>
        <a:p>
          <a:endParaRPr lang="en-AU" sz="1100" b="1">
            <a:solidFill>
              <a:srgbClr val="C00000"/>
            </a:solidFill>
          </a:endParaRPr>
        </a:p>
        <a:p>
          <a:pPr marL="0" indent="0"/>
          <a:r>
            <a:rPr lang="en-AU" sz="1100" b="1">
              <a:solidFill>
                <a:srgbClr val="7030A0"/>
              </a:solidFill>
              <a:latin typeface="+mn-lt"/>
              <a:ea typeface="+mn-ea"/>
              <a:cs typeface="+mn-cs"/>
            </a:rPr>
            <a:t>"Non-res special", </a:t>
          </a:r>
        </a:p>
        <a:p>
          <a:endParaRPr lang="en-AU" sz="1100" b="1">
            <a:solidFill>
              <a:srgbClr val="C00000"/>
            </a:solidFill>
          </a:endParaRPr>
        </a:p>
        <a:p>
          <a:pPr marL="0" indent="0"/>
          <a:r>
            <a:rPr lang="en-AU" sz="1100" b="1">
              <a:solidFill>
                <a:schemeClr val="accent2">
                  <a:lumMod val="75000"/>
                </a:schemeClr>
              </a:solidFill>
              <a:latin typeface="+mn-lt"/>
              <a:ea typeface="+mn-ea"/>
              <a:cs typeface="+mn-cs"/>
            </a:rPr>
            <a:t>"Consultant entry required"</a:t>
          </a:r>
          <a:r>
            <a:rPr lang="en-AU" sz="1100" b="1">
              <a:solidFill>
                <a:srgbClr val="7030A0"/>
              </a:solidFill>
              <a:latin typeface="+mn-lt"/>
              <a:ea typeface="+mn-ea"/>
              <a:cs typeface="+mn-cs"/>
            </a:rPr>
            <a:t>),</a:t>
          </a:r>
        </a:p>
        <a:p>
          <a:r>
            <a:rPr lang="en-AU" sz="1100" b="1">
              <a:solidFill>
                <a:srgbClr val="C00000"/>
              </a:solidFill>
            </a:rPr>
            <a:t>"")</a:t>
          </a:r>
        </a:p>
        <a:p>
          <a:r>
            <a:rPr lang="en-AU" sz="1100" b="1">
              <a:solidFill>
                <a:srgbClr val="C00000"/>
              </a:solidFill>
            </a:rPr>
            <a:t>-----------------------------</a:t>
          </a:r>
        </a:p>
        <a:p>
          <a:r>
            <a:rPr lang="en-AU" sz="1100" b="0">
              <a:solidFill>
                <a:sysClr val="windowText" lastClr="000000"/>
              </a:solidFill>
            </a:rPr>
            <a:t>COLUMN K5 (WW)</a:t>
          </a:r>
        </a:p>
        <a:p>
          <a:endParaRPr lang="en-AU" sz="1100" b="0">
            <a:solidFill>
              <a:sysClr val="windowText" lastClr="000000"/>
            </a:solidFill>
          </a:endParaRPr>
        </a:p>
        <a:p>
          <a:r>
            <a:rPr lang="en-AU" sz="1100" b="1">
              <a:solidFill>
                <a:srgbClr val="C00000"/>
              </a:solidFill>
            </a:rPr>
            <a:t>=IFERROR(</a:t>
          </a:r>
        </a:p>
        <a:p>
          <a:r>
            <a:rPr lang="en-AU" sz="1100" b="1">
              <a:solidFill>
                <a:srgbClr val="7030A0"/>
              </a:solidFill>
            </a:rPr>
            <a:t>SWITCH($G5,</a:t>
          </a:r>
        </a:p>
        <a:p>
          <a:endParaRPr lang="en-AU" sz="1100" b="1">
            <a:solidFill>
              <a:srgbClr val="C00000"/>
            </a:solidFill>
          </a:endParaRPr>
        </a:p>
        <a:p>
          <a:r>
            <a:rPr lang="en-AU" sz="1100" b="1">
              <a:solidFill>
                <a:srgbClr val="0070C0"/>
              </a:solidFill>
            </a:rPr>
            <a:t>     "Other",                            "Consultant entry required",</a:t>
          </a:r>
        </a:p>
        <a:p>
          <a:r>
            <a:rPr lang="en-AU" sz="1100" b="1">
              <a:solidFill>
                <a:srgbClr val="0070C0"/>
              </a:solidFill>
            </a:rPr>
            <a:t>     "WW not required",    "WW not required",</a:t>
          </a:r>
        </a:p>
        <a:p>
          <a:r>
            <a:rPr lang="en-AU" sz="1100" b="1">
              <a:solidFill>
                <a:srgbClr val="0070C0"/>
              </a:solidFill>
            </a:rPr>
            <a:t>     "Standard",                     IF(ISNUMBER(SEARCH("Consultant", H5)),"Consultant entry required", IF(ISNUMBER($I5), ($H5+$I5)*$J5, $H5*$J5))</a:t>
          </a:r>
        </a:p>
        <a:p>
          <a:r>
            <a:rPr lang="en-AU" sz="1100" b="1">
              <a:solidFill>
                <a:srgbClr val="7030A0"/>
              </a:solidFill>
            </a:rPr>
            <a:t>)</a:t>
          </a:r>
          <a:r>
            <a:rPr lang="en-AU" sz="1100" b="1">
              <a:solidFill>
                <a:srgbClr val="C00000"/>
              </a:solidFill>
            </a:rPr>
            <a:t>,"")</a:t>
          </a:r>
        </a:p>
        <a:p>
          <a:endParaRPr lang="en-AU" sz="1100" b="1">
            <a:solidFill>
              <a:srgbClr val="C00000"/>
            </a:solidFill>
          </a:endParaRPr>
        </a:p>
        <a:p>
          <a:endParaRPr lang="en-AU" sz="1100" b="1">
            <a:solidFill>
              <a:srgbClr val="C00000"/>
            </a:solidFill>
          </a:endParaRPr>
        </a:p>
        <a:p>
          <a:endParaRPr lang="en-AU" sz="1100" b="1">
            <a:solidFill>
              <a:srgbClr val="C00000"/>
            </a:solidFill>
          </a:endParaRPr>
        </a:p>
      </xdr:txBody>
    </xdr:sp>
    <xdr:clientData/>
  </xdr:oneCellAnchor>
  <xdr:twoCellAnchor editAs="oneCell">
    <xdr:from>
      <xdr:col>11</xdr:col>
      <xdr:colOff>0</xdr:colOff>
      <xdr:row>6</xdr:row>
      <xdr:rowOff>0</xdr:rowOff>
    </xdr:from>
    <xdr:to>
      <xdr:col>40</xdr:col>
      <xdr:colOff>40573</xdr:colOff>
      <xdr:row>20</xdr:row>
      <xdr:rowOff>152889</xdr:rowOff>
    </xdr:to>
    <xdr:pic>
      <xdr:nvPicPr>
        <xdr:cNvPr id="3" name="Picture 2">
          <a:extLst>
            <a:ext uri="{FF2B5EF4-FFF2-40B4-BE49-F238E27FC236}">
              <a16:creationId xmlns:a16="http://schemas.microsoft.com/office/drawing/2014/main" id="{C368C625-2CBD-F357-4163-765410FB9F17}"/>
            </a:ext>
          </a:extLst>
        </xdr:cNvPr>
        <xdr:cNvPicPr>
          <a:picLocks noChangeAspect="1"/>
        </xdr:cNvPicPr>
      </xdr:nvPicPr>
      <xdr:blipFill>
        <a:blip xmlns:r="http://schemas.openxmlformats.org/officeDocument/2006/relationships" r:embed="rId1"/>
        <a:stretch>
          <a:fillRect/>
        </a:stretch>
      </xdr:blipFill>
      <xdr:spPr>
        <a:xfrm>
          <a:off x="13154025" y="552450"/>
          <a:ext cx="17718973" cy="350568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11</xdr:col>
      <xdr:colOff>9525</xdr:colOff>
      <xdr:row>21</xdr:row>
      <xdr:rowOff>142875</xdr:rowOff>
    </xdr:from>
    <xdr:to>
      <xdr:col>28</xdr:col>
      <xdr:colOff>239603</xdr:colOff>
      <xdr:row>38</xdr:row>
      <xdr:rowOff>9891</xdr:rowOff>
    </xdr:to>
    <xdr:pic>
      <xdr:nvPicPr>
        <xdr:cNvPr id="4" name="Picture 3">
          <a:extLst>
            <a:ext uri="{FF2B5EF4-FFF2-40B4-BE49-F238E27FC236}">
              <a16:creationId xmlns:a16="http://schemas.microsoft.com/office/drawing/2014/main" id="{26F6C1A7-EA1F-0B8C-DAF9-D15943E36F11}"/>
            </a:ext>
          </a:extLst>
        </xdr:cNvPr>
        <xdr:cNvPicPr>
          <a:picLocks noChangeAspect="1"/>
        </xdr:cNvPicPr>
      </xdr:nvPicPr>
      <xdr:blipFill>
        <a:blip xmlns:r="http://schemas.openxmlformats.org/officeDocument/2006/relationships" r:embed="rId2"/>
        <a:stretch>
          <a:fillRect/>
        </a:stretch>
      </xdr:blipFill>
      <xdr:spPr>
        <a:xfrm>
          <a:off x="13163550" y="4371975"/>
          <a:ext cx="10593278" cy="2619741"/>
        </a:xfrm>
        <a:prstGeom prst="rect">
          <a:avLst/>
        </a:prstGeom>
        <a:ln>
          <a:noFill/>
        </a:ln>
        <a:effectLst>
          <a:outerShdw blurRad="292100" dist="139700" dir="2700000" algn="tl" rotWithShape="0">
            <a:srgbClr val="333333">
              <a:alpha val="65000"/>
            </a:srgbClr>
          </a:outerShdw>
        </a:effec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Residential" displayName="Residential" ref="C2:C9" totalsRowShown="0" headerRowDxfId="33" dataDxfId="32">
  <autoFilter ref="C2:C9" xr:uid="{00000000-0009-0000-0100-000005000000}"/>
  <tableColumns count="1">
    <tableColumn id="1" xr3:uid="{00000000-0010-0000-0000-000001000000}" name="Residential" dataDxfId="3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Commercial" displayName="Commercial" ref="E2:E18" totalsRowShown="0" headerRowDxfId="30">
  <autoFilter ref="E2:E18" xr:uid="{00000000-0009-0000-0100-000006000000}"/>
  <tableColumns count="1">
    <tableColumn id="1" xr3:uid="{00000000-0010-0000-0100-000001000000}" name="Commercial"/>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Industrial" displayName="Industrial" ref="F2:F10" totalsRowShown="0" headerRowDxfId="29">
  <autoFilter ref="F2:F10" xr:uid="{00000000-0009-0000-0100-000007000000}"/>
  <tableColumns count="1">
    <tableColumn id="1" xr3:uid="{00000000-0010-0000-0200-000001000000}" name="Industrial"/>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Special_Use" displayName="Special_Use" ref="G2:G12" totalsRowShown="0" headerRowDxfId="28">
  <autoFilter ref="G2:G12" xr:uid="{00000000-0009-0000-0100-000008000000}"/>
  <tableColumns count="1">
    <tableColumn id="1" xr3:uid="{00000000-0010-0000-0300-000001000000}" name="Special_Us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4000000}" name="WWdischarge" displayName="WWdischarge" ref="H2:H5" totalsRowShown="0" headerRowDxfId="27" dataDxfId="26" dataCellStyle="Percent">
  <autoFilter ref="H2:H5" xr:uid="{00000000-0009-0000-0100-00000C000000}"/>
  <tableColumns count="1">
    <tableColumn id="1" xr3:uid="{00000000-0010-0000-0400-000001000000}" name="WWdischarge" dataDxfId="25" dataCellStyle="Percent"/>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6ADF1B-D729-4A68-B499-1B98D1CE97FE}" name="Table1" displayName="Table1" ref="D2:D5" totalsRowShown="0" headerRowDxfId="24" dataDxfId="23">
  <autoFilter ref="D2:D5" xr:uid="{FC6ADF1B-D729-4A68-B499-1B98D1CE97FE}"/>
  <tableColumns count="1">
    <tableColumn id="1" xr3:uid="{3D330AAB-7A36-415E-8FA9-4BAF8DCECDEB}" name="Other (manual entry)" dataDxfId="22">
      <calculatedColumnFormula array="1">IFERROR(INDEX(ADWUT!$B$11:$B$998, MATCH(0, COUNTIF(D$2:D2, IF(ADWUT!$A$11:$A$998=D$2,ADWUT!$B$11:$B$998,D$2)), 0)),"")</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C5FC3CC-9DBD-4480-B300-7721F1824566}" name="Table2" displayName="Table2" ref="I2:J7" totalsRowShown="0" headerRowDxfId="21">
  <autoFilter ref="I2:J7" xr:uid="{AC5FC3CC-9DBD-4480-B300-7721F1824566}"/>
  <tableColumns count="2">
    <tableColumn id="1" xr3:uid="{4359A14C-5552-4080-B342-CC7662969A61}" name="RW"/>
    <tableColumn id="2" xr3:uid="{266C8717-BFD8-4FCD-AFB7-E416EB12B464}" name="RW_REF" dataDxfId="2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vmlDrawing" Target="../drawings/vmlDrawing3.v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2"/>
  <sheetViews>
    <sheetView showGridLines="0" tabSelected="1" zoomScale="115" zoomScaleNormal="115" workbookViewId="0">
      <selection sqref="A1:B1"/>
    </sheetView>
  </sheetViews>
  <sheetFormatPr defaultRowHeight="12.75"/>
  <cols>
    <col min="1" max="1" width="3.85546875" style="4" customWidth="1"/>
    <col min="2" max="2" width="87" style="16" customWidth="1"/>
    <col min="3" max="3" width="3.5703125" style="16" customWidth="1"/>
    <col min="4" max="5" width="19.42578125" style="16" customWidth="1"/>
    <col min="6" max="7" width="18.140625" style="16" customWidth="1"/>
    <col min="8" max="16384" width="9.140625" style="16"/>
  </cols>
  <sheetData>
    <row r="1" spans="1:6" ht="27" customHeight="1">
      <c r="A1" s="373" t="s">
        <v>228</v>
      </c>
      <c r="B1" s="373"/>
    </row>
    <row r="2" spans="1:6" ht="27" customHeight="1">
      <c r="A2" s="219">
        <v>1</v>
      </c>
      <c r="B2" s="31" t="s">
        <v>333</v>
      </c>
    </row>
    <row r="3" spans="1:6" ht="30" customHeight="1">
      <c r="A3" s="219">
        <v>2</v>
      </c>
      <c r="B3" s="31" t="s">
        <v>258</v>
      </c>
      <c r="C3" s="17"/>
    </row>
    <row r="4" spans="1:6" ht="33" customHeight="1">
      <c r="A4" s="219">
        <v>3</v>
      </c>
      <c r="B4" s="31" t="s">
        <v>177</v>
      </c>
      <c r="C4" s="17"/>
    </row>
    <row r="5" spans="1:6" ht="25.5">
      <c r="A5" s="219">
        <v>4</v>
      </c>
      <c r="B5" s="31" t="s">
        <v>203</v>
      </c>
      <c r="C5" s="17"/>
      <c r="E5" s="28"/>
      <c r="F5" s="28"/>
    </row>
    <row r="6" spans="1:6" ht="38.25">
      <c r="A6" s="219">
        <v>5</v>
      </c>
      <c r="B6" s="31" t="s">
        <v>253</v>
      </c>
      <c r="C6" s="17"/>
      <c r="D6" s="28"/>
      <c r="E6" s="28"/>
      <c r="F6" s="28"/>
    </row>
    <row r="7" spans="1:6" ht="66.75" customHeight="1">
      <c r="A7" s="219">
        <v>6</v>
      </c>
      <c r="B7" s="31" t="s">
        <v>314</v>
      </c>
      <c r="C7" s="17"/>
      <c r="D7" s="28"/>
      <c r="E7" s="28"/>
    </row>
    <row r="8" spans="1:6" ht="38.25">
      <c r="A8" s="219">
        <v>7</v>
      </c>
      <c r="B8" s="31" t="s">
        <v>308</v>
      </c>
      <c r="C8" s="17"/>
      <c r="E8" s="28"/>
    </row>
    <row r="9" spans="1:6" ht="25.5">
      <c r="A9" s="219">
        <v>8</v>
      </c>
      <c r="B9" s="31" t="s">
        <v>259</v>
      </c>
      <c r="C9" s="17"/>
    </row>
    <row r="10" spans="1:6" hidden="1">
      <c r="A10" s="29"/>
      <c r="B10" s="30"/>
      <c r="C10" s="17"/>
    </row>
    <row r="11" spans="1:6">
      <c r="A11" s="11"/>
      <c r="B11" s="19"/>
      <c r="C11" s="17"/>
    </row>
    <row r="12" spans="1:6" ht="24" customHeight="1">
      <c r="A12" s="373" t="s">
        <v>227</v>
      </c>
      <c r="B12" s="373"/>
      <c r="C12" s="17"/>
    </row>
    <row r="13" spans="1:6" ht="15" customHeight="1">
      <c r="A13" s="219">
        <v>1</v>
      </c>
      <c r="B13" s="31" t="s">
        <v>205</v>
      </c>
      <c r="C13" s="17"/>
    </row>
    <row r="14" spans="1:6" ht="16.5" customHeight="1">
      <c r="A14" s="219">
        <v>2</v>
      </c>
      <c r="B14" s="146" t="s">
        <v>206</v>
      </c>
      <c r="C14" s="17"/>
    </row>
    <row r="15" spans="1:6" ht="41.25" customHeight="1">
      <c r="A15" s="220" t="s">
        <v>225</v>
      </c>
      <c r="B15" s="218" t="s">
        <v>224</v>
      </c>
      <c r="C15" s="17"/>
    </row>
    <row r="16" spans="1:6" ht="15.75" customHeight="1">
      <c r="A16" s="219">
        <v>3</v>
      </c>
      <c r="B16" s="31" t="s">
        <v>204</v>
      </c>
      <c r="C16" s="17"/>
    </row>
    <row r="17" spans="1:3" ht="109.5" customHeight="1">
      <c r="A17" s="220" t="s">
        <v>225</v>
      </c>
      <c r="B17" s="31" t="s">
        <v>335</v>
      </c>
      <c r="C17" s="17"/>
    </row>
    <row r="18" spans="1:3" ht="323.25" customHeight="1">
      <c r="A18" s="374" t="s">
        <v>226</v>
      </c>
      <c r="B18" s="369" t="s">
        <v>336</v>
      </c>
      <c r="C18" s="17"/>
    </row>
    <row r="19" spans="1:3" ht="147.75" customHeight="1">
      <c r="A19" s="375"/>
      <c r="B19" s="370" t="s">
        <v>332</v>
      </c>
      <c r="C19" s="17"/>
    </row>
    <row r="20" spans="1:3" ht="105.75" customHeight="1">
      <c r="A20" s="220" t="s">
        <v>260</v>
      </c>
      <c r="B20" s="31" t="s">
        <v>262</v>
      </c>
      <c r="C20" s="17"/>
    </row>
    <row r="21" spans="1:3" ht="31.5" customHeight="1">
      <c r="A21" s="220" t="s">
        <v>261</v>
      </c>
      <c r="B21" s="31" t="s">
        <v>251</v>
      </c>
      <c r="C21" s="17"/>
    </row>
    <row r="22" spans="1:3" hidden="1">
      <c r="A22" s="29"/>
      <c r="B22" s="31"/>
      <c r="C22" s="17"/>
    </row>
    <row r="23" spans="1:3" ht="33" hidden="1" customHeight="1">
      <c r="A23" s="29"/>
      <c r="B23" s="31"/>
      <c r="C23" s="17"/>
    </row>
    <row r="24" spans="1:3" hidden="1">
      <c r="A24" s="29"/>
      <c r="B24" s="31"/>
      <c r="C24" s="17"/>
    </row>
    <row r="25" spans="1:3" hidden="1">
      <c r="A25" s="29"/>
      <c r="B25" s="30"/>
    </row>
    <row r="26" spans="1:3" hidden="1">
      <c r="A26" s="29"/>
      <c r="B26" s="30"/>
    </row>
    <row r="27" spans="1:3" hidden="1">
      <c r="A27" s="29"/>
      <c r="B27" s="30"/>
    </row>
    <row r="28" spans="1:3" hidden="1">
      <c r="A28" s="29"/>
      <c r="B28" s="30"/>
    </row>
    <row r="29" spans="1:3" hidden="1">
      <c r="A29" s="29"/>
      <c r="B29" s="30"/>
    </row>
    <row r="30" spans="1:3" hidden="1">
      <c r="A30" s="29"/>
      <c r="B30" s="30"/>
    </row>
    <row r="31" spans="1:3" hidden="1">
      <c r="A31" s="29"/>
      <c r="B31" s="32"/>
    </row>
    <row r="32" spans="1:3" hidden="1">
      <c r="A32" s="29"/>
      <c r="B32" s="32"/>
    </row>
    <row r="33" spans="1:2" hidden="1">
      <c r="A33" s="29"/>
      <c r="B33" s="32"/>
    </row>
    <row r="34" spans="1:2" hidden="1">
      <c r="A34" s="29"/>
      <c r="B34" s="32"/>
    </row>
    <row r="35" spans="1:2" hidden="1">
      <c r="A35" s="29"/>
      <c r="B35" s="32"/>
    </row>
    <row r="36" spans="1:2" hidden="1">
      <c r="A36" s="29"/>
      <c r="B36" s="32"/>
    </row>
    <row r="37" spans="1:2" hidden="1">
      <c r="A37" s="29"/>
      <c r="B37" s="32"/>
    </row>
    <row r="38" spans="1:2" hidden="1">
      <c r="A38" s="29"/>
      <c r="B38" s="32"/>
    </row>
    <row r="39" spans="1:2" hidden="1">
      <c r="A39" s="29"/>
      <c r="B39" s="32"/>
    </row>
    <row r="40" spans="1:2">
      <c r="A40" s="11"/>
      <c r="B40" s="18"/>
    </row>
    <row r="41" spans="1:2">
      <c r="B41" s="18"/>
    </row>
    <row r="42" spans="1:2">
      <c r="B42" s="18"/>
    </row>
  </sheetData>
  <sheetProtection algorithmName="SHA-512" hashValue="hgpbA+yxgGCD7N8JQ5WeQzMqEn0oyTP2M4tRm7N83pLpVfxkHoKDiMiNzqjhBim5ZoP+GpjmOuqMtBHqsVHDNA==" saltValue="hP7ZrB3qqbfhioZPX/ARpg==" spinCount="100000" sheet="1" objects="1" scenarios="1"/>
  <mergeCells count="3">
    <mergeCell ref="A1:B1"/>
    <mergeCell ref="A12:B12"/>
    <mergeCell ref="A18:A19"/>
  </mergeCells>
  <pageMargins left="0.7" right="0.7" top="0.75" bottom="0.75" header="0.3" footer="0.3"/>
  <pageSetup paperSize="9" orientation="portrait" verticalDpi="598"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25FED-F21E-4AE2-B4B6-4DFBD101A511}">
  <sheetPr>
    <tabColor theme="1"/>
  </sheetPr>
  <dimension ref="C1:J19"/>
  <sheetViews>
    <sheetView workbookViewId="0"/>
  </sheetViews>
  <sheetFormatPr defaultRowHeight="12.75"/>
  <cols>
    <col min="1" max="2" width="5.140625" style="16" customWidth="1"/>
    <col min="3" max="3" width="6" style="16" customWidth="1"/>
    <col min="4" max="4" width="28.42578125" style="16" customWidth="1"/>
    <col min="5" max="5" width="30.42578125" style="16" customWidth="1"/>
    <col min="6" max="6" width="30.42578125" style="4" customWidth="1"/>
    <col min="7" max="7" width="9.140625" style="4"/>
    <col min="8" max="9" width="32.140625" style="16" customWidth="1"/>
    <col min="10" max="16384" width="9.140625" style="16"/>
  </cols>
  <sheetData>
    <row r="1" spans="3:10" ht="4.5" customHeight="1"/>
    <row r="2" spans="3:10" ht="4.5" customHeight="1"/>
    <row r="3" spans="3:10" ht="4.5" customHeight="1"/>
    <row r="4" spans="3:10" ht="4.5" customHeight="1"/>
    <row r="5" spans="3:10">
      <c r="C5" s="58" t="s">
        <v>104</v>
      </c>
      <c r="D5" s="58" t="s">
        <v>105</v>
      </c>
      <c r="E5" s="460" t="s">
        <v>106</v>
      </c>
      <c r="F5" s="460"/>
      <c r="G5" s="460"/>
      <c r="H5" s="461" t="s">
        <v>107</v>
      </c>
      <c r="I5" s="461"/>
      <c r="J5" s="461"/>
    </row>
    <row r="6" spans="3:10">
      <c r="C6" s="142" t="s">
        <v>3</v>
      </c>
      <c r="D6" s="127"/>
      <c r="E6" s="462" t="s">
        <v>134</v>
      </c>
      <c r="F6" s="463"/>
      <c r="G6" s="464"/>
      <c r="H6" s="465" t="s">
        <v>134</v>
      </c>
      <c r="I6" s="466"/>
      <c r="J6" s="467"/>
    </row>
    <row r="7" spans="3:10" ht="33.75" customHeight="1">
      <c r="C7" s="127"/>
      <c r="D7" s="127" t="s">
        <v>180</v>
      </c>
      <c r="E7" s="130" t="s">
        <v>170</v>
      </c>
      <c r="F7" s="109" t="s">
        <v>101</v>
      </c>
      <c r="G7" s="128"/>
      <c r="H7" s="60" t="s">
        <v>173</v>
      </c>
      <c r="I7" s="108" t="s">
        <v>101</v>
      </c>
      <c r="J7" s="129"/>
    </row>
    <row r="8" spans="3:10" ht="33.75" customHeight="1">
      <c r="C8" s="127"/>
      <c r="D8" s="127" t="s">
        <v>57</v>
      </c>
      <c r="E8" s="130" t="s">
        <v>171</v>
      </c>
      <c r="F8" s="109" t="s">
        <v>101</v>
      </c>
      <c r="G8" s="128"/>
      <c r="H8" s="108">
        <v>0</v>
      </c>
      <c r="I8" s="132"/>
      <c r="J8" s="133"/>
    </row>
    <row r="9" spans="3:10">
      <c r="C9" s="127"/>
      <c r="D9" s="127" t="s">
        <v>58</v>
      </c>
      <c r="E9" s="130" t="s">
        <v>102</v>
      </c>
      <c r="F9" s="134"/>
      <c r="G9" s="135"/>
      <c r="H9" s="60" t="s">
        <v>102</v>
      </c>
      <c r="I9" s="132"/>
      <c r="J9" s="133"/>
    </row>
    <row r="10" spans="3:10">
      <c r="C10" s="127"/>
      <c r="D10" s="127" t="s">
        <v>59</v>
      </c>
      <c r="E10" s="130" t="s">
        <v>103</v>
      </c>
      <c r="F10" s="134"/>
      <c r="G10" s="135"/>
      <c r="H10" s="60" t="s">
        <v>103</v>
      </c>
      <c r="I10" s="132"/>
      <c r="J10" s="133"/>
    </row>
    <row r="11" spans="3:10">
      <c r="C11" s="127"/>
      <c r="D11" s="127"/>
      <c r="E11" s="130"/>
      <c r="F11" s="131"/>
      <c r="G11" s="128"/>
      <c r="H11" s="60"/>
      <c r="I11" s="59"/>
      <c r="J11" s="129"/>
    </row>
    <row r="12" spans="3:10">
      <c r="C12" s="142" t="s">
        <v>100</v>
      </c>
      <c r="D12" s="127"/>
      <c r="E12" s="130"/>
      <c r="F12" s="131"/>
      <c r="G12" s="128"/>
      <c r="H12" s="60"/>
      <c r="I12" s="59"/>
      <c r="J12" s="129"/>
    </row>
    <row r="13" spans="3:10" ht="34.5" customHeight="1">
      <c r="C13" s="127"/>
      <c r="D13" s="127" t="s">
        <v>180</v>
      </c>
      <c r="E13" s="130" t="s">
        <v>171</v>
      </c>
      <c r="F13" s="130" t="s">
        <v>170</v>
      </c>
      <c r="G13" s="138" t="s">
        <v>101</v>
      </c>
      <c r="H13" s="60" t="s">
        <v>171</v>
      </c>
      <c r="I13" s="60" t="s">
        <v>172</v>
      </c>
      <c r="J13" s="139" t="s">
        <v>101</v>
      </c>
    </row>
    <row r="14" spans="3:10" ht="34.5" customHeight="1">
      <c r="C14" s="127"/>
      <c r="D14" s="127" t="s">
        <v>57</v>
      </c>
      <c r="E14" s="130" t="s">
        <v>171</v>
      </c>
      <c r="F14" s="109" t="s">
        <v>101</v>
      </c>
      <c r="G14" s="128"/>
      <c r="H14" s="108">
        <v>0</v>
      </c>
      <c r="I14" s="132"/>
      <c r="J14" s="133"/>
    </row>
    <row r="15" spans="3:10">
      <c r="C15" s="127"/>
      <c r="D15" s="127" t="s">
        <v>58</v>
      </c>
      <c r="E15" s="130" t="s">
        <v>102</v>
      </c>
      <c r="F15" s="134"/>
      <c r="G15" s="135"/>
      <c r="H15" s="60" t="s">
        <v>102</v>
      </c>
      <c r="I15" s="132"/>
      <c r="J15" s="133"/>
    </row>
    <row r="16" spans="3:10">
      <c r="C16" s="127"/>
      <c r="D16" s="127" t="s">
        <v>59</v>
      </c>
      <c r="E16" s="130" t="s">
        <v>103</v>
      </c>
      <c r="F16" s="134"/>
      <c r="G16" s="135"/>
      <c r="H16" s="60" t="s">
        <v>103</v>
      </c>
      <c r="I16" s="132"/>
      <c r="J16" s="133"/>
    </row>
    <row r="17" spans="3:10">
      <c r="C17" s="127"/>
      <c r="D17" s="127"/>
      <c r="E17" s="136"/>
      <c r="F17" s="128"/>
      <c r="G17" s="128"/>
      <c r="H17" s="137"/>
      <c r="I17" s="137"/>
      <c r="J17" s="137"/>
    </row>
    <row r="18" spans="3:10">
      <c r="C18" s="126" t="s">
        <v>162</v>
      </c>
      <c r="D18" s="127"/>
      <c r="E18" s="136"/>
      <c r="F18" s="128"/>
      <c r="G18" s="128"/>
      <c r="H18" s="137"/>
      <c r="I18" s="137"/>
      <c r="J18" s="137"/>
    </row>
    <row r="19" spans="3:10">
      <c r="C19" s="127"/>
      <c r="D19" s="127"/>
      <c r="E19" s="130"/>
      <c r="F19" s="134"/>
      <c r="G19" s="128"/>
      <c r="H19" s="127"/>
      <c r="I19" s="127"/>
      <c r="J19" s="127"/>
    </row>
  </sheetData>
  <mergeCells count="4">
    <mergeCell ref="E5:G5"/>
    <mergeCell ref="H5:J5"/>
    <mergeCell ref="E6:G6"/>
    <mergeCell ref="H6:J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74D05-6369-4F4D-AA33-4976415F07FE}">
  <sheetPr>
    <tabColor theme="5" tint="-0.249977111117893"/>
  </sheetPr>
  <dimension ref="B1:L70"/>
  <sheetViews>
    <sheetView showGridLines="0" topLeftCell="A10" zoomScale="130" zoomScaleNormal="130" workbookViewId="0">
      <selection activeCell="H30" sqref="H30"/>
    </sheetView>
  </sheetViews>
  <sheetFormatPr defaultRowHeight="12.75"/>
  <cols>
    <col min="1" max="1" width="1.28515625" style="291" customWidth="1"/>
    <col min="2" max="2" width="15.7109375" style="291" customWidth="1"/>
    <col min="3" max="3" width="27.42578125" style="291" customWidth="1"/>
    <col min="4" max="4" width="9.28515625" style="291" customWidth="1"/>
    <col min="5" max="5" width="1.5703125" style="291" customWidth="1"/>
    <col min="6" max="8" width="9.140625" style="291"/>
    <col min="9" max="9" width="10.42578125" style="291" customWidth="1"/>
    <col min="10" max="10" width="11" style="291" customWidth="1"/>
    <col min="11" max="11" width="10.140625" style="291" customWidth="1"/>
    <col min="12" max="16384" width="9.140625" style="291"/>
  </cols>
  <sheetData>
    <row r="1" spans="2:12" ht="22.5" customHeight="1">
      <c r="B1" s="376" t="str">
        <f>"Development 'Average Daily Demands' - " &amp; 'About &amp; How to Use'!B2</f>
        <v>Development 'Average Daily Demands' - Version 1.1 - March 2025</v>
      </c>
      <c r="C1" s="376"/>
      <c r="D1" s="376"/>
      <c r="E1" s="376"/>
      <c r="F1" s="376"/>
      <c r="G1" s="376"/>
      <c r="H1" s="376"/>
      <c r="I1" s="376"/>
    </row>
    <row r="2" spans="2:12">
      <c r="B2" s="306" t="s">
        <v>168</v>
      </c>
    </row>
    <row r="3" spans="2:12">
      <c r="B3" s="307"/>
    </row>
    <row r="4" spans="2:12" ht="18" customHeight="1">
      <c r="B4" s="183"/>
      <c r="C4" s="308" t="s">
        <v>0</v>
      </c>
    </row>
    <row r="5" spans="2:12" ht="18" customHeight="1">
      <c r="B5" s="184"/>
      <c r="C5" s="309" t="s">
        <v>1</v>
      </c>
    </row>
    <row r="6" spans="2:12" ht="18" customHeight="1">
      <c r="B6" s="182" t="s">
        <v>323</v>
      </c>
      <c r="C6" s="309" t="s">
        <v>324</v>
      </c>
    </row>
    <row r="7" spans="2:12">
      <c r="B7" s="310"/>
    </row>
    <row r="8" spans="2:12" ht="15">
      <c r="B8" s="401" t="s">
        <v>37</v>
      </c>
      <c r="C8" s="401"/>
      <c r="D8" s="401"/>
      <c r="E8" s="401"/>
      <c r="F8" s="401"/>
      <c r="G8" s="401"/>
      <c r="H8" s="401"/>
      <c r="I8" s="401"/>
    </row>
    <row r="9" spans="2:12">
      <c r="B9" s="387"/>
      <c r="C9" s="388"/>
      <c r="D9" s="388"/>
      <c r="E9" s="388"/>
      <c r="F9" s="388"/>
      <c r="G9" s="388"/>
      <c r="H9" s="388"/>
      <c r="I9" s="389"/>
    </row>
    <row r="10" spans="2:12">
      <c r="B10" s="390"/>
      <c r="C10" s="391"/>
      <c r="D10" s="391"/>
      <c r="E10" s="391"/>
      <c r="F10" s="391"/>
      <c r="G10" s="391"/>
      <c r="H10" s="391"/>
      <c r="I10" s="392"/>
    </row>
    <row r="11" spans="2:12">
      <c r="B11" s="393"/>
      <c r="C11" s="394"/>
      <c r="D11" s="394"/>
      <c r="E11" s="394"/>
      <c r="F11" s="394"/>
      <c r="G11" s="394"/>
      <c r="H11" s="394"/>
      <c r="I11" s="395"/>
    </row>
    <row r="12" spans="2:12" ht="9" customHeight="1" thickBot="1">
      <c r="B12" s="311"/>
      <c r="C12" s="311"/>
      <c r="D12" s="311"/>
      <c r="E12" s="311"/>
      <c r="F12" s="311"/>
      <c r="G12" s="311"/>
      <c r="H12" s="311"/>
    </row>
    <row r="13" spans="2:12" ht="16.5" customHeight="1">
      <c r="B13" s="396" t="s">
        <v>325</v>
      </c>
      <c r="C13" s="397"/>
      <c r="D13" s="397"/>
      <c r="E13" s="397"/>
      <c r="F13" s="397"/>
      <c r="G13" s="397"/>
      <c r="H13" s="397"/>
      <c r="I13" s="398"/>
      <c r="L13" s="312"/>
    </row>
    <row r="14" spans="2:12" ht="4.5" customHeight="1">
      <c r="B14" s="402"/>
      <c r="C14" s="403"/>
      <c r="D14" s="403"/>
      <c r="E14" s="403"/>
      <c r="F14" s="403"/>
      <c r="G14" s="403"/>
      <c r="H14" s="403"/>
      <c r="I14" s="404"/>
    </row>
    <row r="15" spans="2:12" ht="3.75" customHeight="1">
      <c r="B15" s="287"/>
      <c r="C15" s="288"/>
      <c r="D15" s="288"/>
      <c r="E15" s="288"/>
      <c r="F15" s="288"/>
      <c r="G15" s="288"/>
      <c r="H15" s="288"/>
      <c r="I15" s="289"/>
    </row>
    <row r="16" spans="2:12" ht="20.25" customHeight="1">
      <c r="B16" s="284"/>
      <c r="C16" s="290" t="s">
        <v>301</v>
      </c>
      <c r="E16" s="292"/>
      <c r="F16" s="359" t="str">
        <f>IF($B$18="", "", $B$16/$B$18*10000)</f>
        <v/>
      </c>
      <c r="G16" s="293" t="str">
        <f>IF(F16="", "", "dwellings / net ha")</f>
        <v/>
      </c>
      <c r="H16" s="294"/>
      <c r="I16" s="295"/>
    </row>
    <row r="17" spans="2:11" ht="5.25" customHeight="1">
      <c r="B17" s="296"/>
      <c r="C17" s="297"/>
      <c r="D17" s="298"/>
      <c r="E17" s="118"/>
      <c r="F17" s="118"/>
      <c r="G17" s="118"/>
      <c r="H17" s="118"/>
      <c r="I17" s="295"/>
    </row>
    <row r="18" spans="2:11" ht="20.25" customHeight="1">
      <c r="B18" s="285"/>
      <c r="C18" s="299" t="s">
        <v>326</v>
      </c>
      <c r="D18" s="300"/>
      <c r="E18" s="405" t="s">
        <v>302</v>
      </c>
      <c r="F18" s="406"/>
      <c r="G18" s="406"/>
      <c r="H18" s="406"/>
      <c r="I18" s="407"/>
    </row>
    <row r="19" spans="2:11" ht="13.5" thickBot="1">
      <c r="B19" s="301"/>
      <c r="C19" s="302"/>
      <c r="D19" s="303"/>
      <c r="E19" s="304"/>
      <c r="F19" s="302"/>
      <c r="G19" s="304"/>
      <c r="H19" s="304"/>
      <c r="I19" s="305"/>
    </row>
    <row r="20" spans="2:11" ht="6.75" customHeight="1">
      <c r="B20" s="312"/>
      <c r="C20" s="312"/>
      <c r="D20" s="286"/>
    </row>
    <row r="21" spans="2:11" ht="18.75" customHeight="1">
      <c r="B21" s="313" t="s">
        <v>303</v>
      </c>
      <c r="C21" s="314"/>
      <c r="D21" s="315"/>
      <c r="E21" s="316"/>
      <c r="F21" s="316"/>
      <c r="G21" s="316"/>
      <c r="H21" s="316"/>
      <c r="I21" s="316"/>
      <c r="J21" s="316"/>
      <c r="K21" s="316"/>
    </row>
    <row r="22" spans="2:11" ht="6.75" customHeight="1">
      <c r="I22" s="312"/>
    </row>
    <row r="23" spans="2:11" ht="13.5" thickBot="1">
      <c r="B23" s="399" t="s">
        <v>263</v>
      </c>
      <c r="C23" s="400"/>
      <c r="D23" s="400"/>
      <c r="E23" s="400"/>
      <c r="G23" s="317"/>
      <c r="I23" s="312"/>
    </row>
    <row r="24" spans="2:11">
      <c r="B24" s="175">
        <f>IF('Data Input'!Y22&gt;0,"Check C43.",SUMIFS('Data Input'!G5:G21,'Data Input'!Q5:Q21,1,'Data Input'!O5:O21,"Residential")+SUMIFS('Data Input'!K5:K21,'Data Input'!U5:U21,1,'Data Input'!O5:O21,"Residential"))</f>
        <v>0</v>
      </c>
      <c r="C24" s="318" t="s">
        <v>61</v>
      </c>
      <c r="G24" s="319" t="s">
        <v>329</v>
      </c>
      <c r="H24" s="320"/>
      <c r="I24" s="321"/>
      <c r="J24" s="320"/>
      <c r="K24" s="322"/>
    </row>
    <row r="25" spans="2:11">
      <c r="B25" s="177">
        <f>IF('Data Input'!Y22&gt;0,"Check C43.",SUMIFS('Data Input'!G5:G21,'Data Input'!Q5:Q21,1,'Data Input'!P5:P21,"Non-res")+SUMIFS('Data Input'!K5:K21,'Data Input'!U5:U21,1,'Data Input'!P5:P21,"Non-res"))</f>
        <v>0</v>
      </c>
      <c r="C25" s="323" t="s">
        <v>62</v>
      </c>
      <c r="G25" s="324" t="s">
        <v>328</v>
      </c>
      <c r="H25" s="325"/>
      <c r="I25" s="325"/>
      <c r="J25" s="326"/>
      <c r="K25" s="295"/>
    </row>
    <row r="26" spans="2:11" ht="13.5" thickBot="1">
      <c r="B26" s="178">
        <f>SUM(B24:B25)</f>
        <v>0</v>
      </c>
      <c r="C26" s="327" t="s">
        <v>123</v>
      </c>
      <c r="D26" s="328"/>
      <c r="G26" s="329"/>
      <c r="H26" s="326"/>
      <c r="I26" s="325"/>
      <c r="J26" s="326"/>
      <c r="K26" s="295"/>
    </row>
    <row r="27" spans="2:11" ht="13.5" thickTop="1">
      <c r="B27" s="307"/>
      <c r="G27" s="329"/>
      <c r="H27" s="325" t="s">
        <v>191</v>
      </c>
      <c r="I27" s="325"/>
      <c r="J27" s="326" t="s">
        <v>45</v>
      </c>
      <c r="K27" s="295"/>
    </row>
    <row r="28" spans="2:11">
      <c r="B28" s="399" t="s">
        <v>264</v>
      </c>
      <c r="C28" s="400"/>
      <c r="D28" s="400"/>
      <c r="G28" s="329"/>
      <c r="H28" s="326" t="s">
        <v>189</v>
      </c>
      <c r="I28" s="325"/>
      <c r="J28" s="326" t="s">
        <v>192</v>
      </c>
      <c r="K28" s="295"/>
    </row>
    <row r="29" spans="2:11">
      <c r="B29" s="175">
        <f>IF('Data Input'!Z22&gt;0,"Check C43.",SUMIFS('Data Input'!H5:H21,'Data Input'!R5:R21,1,'Data Input'!O5:O21,"Residential")+SUMIFS('Data Input'!L5:L21,'Data Input'!V5:V21,1,'Data Input'!O5:O21,"Residential"))</f>
        <v>0</v>
      </c>
      <c r="C29" s="318" t="s">
        <v>61</v>
      </c>
      <c r="G29" s="329"/>
      <c r="H29" s="326" t="s">
        <v>190</v>
      </c>
      <c r="I29" s="325"/>
      <c r="J29" s="326" t="s">
        <v>190</v>
      </c>
      <c r="K29" s="295"/>
    </row>
    <row r="30" spans="2:11">
      <c r="B30" s="175">
        <f>IF('Data Input'!Z22&gt;0,"Check C43.",SUMIFS('Data Input'!H5:H21,'Data Input'!R5:R21,1,'Data Input'!P5:P21,"Non-res")+SUMIFS('Data Input'!L5:L21,'Data Input'!V5:V21,1,'Data Input'!P5:P21,"Non-res"))</f>
        <v>0</v>
      </c>
      <c r="C30" s="318" t="s">
        <v>62</v>
      </c>
      <c r="G30" s="329"/>
      <c r="H30" s="173">
        <f>B25+B30</f>
        <v>0</v>
      </c>
      <c r="I30" s="172" t="e">
        <f>"= " &amp; TEXT(H30/J30, "00%") &amp; " of "</f>
        <v>#DIV/0!</v>
      </c>
      <c r="J30" s="173">
        <f>IF(COUNTIF('Data Input'!$O$5:$O$21, "*special*"), "Bespoke", 'Data Input'!AB22)</f>
        <v>0</v>
      </c>
      <c r="K30" s="295"/>
    </row>
    <row r="31" spans="2:11" ht="13.5" thickBot="1">
      <c r="B31" s="179">
        <f>SUM(B29:B30)</f>
        <v>0</v>
      </c>
      <c r="C31" s="330" t="s">
        <v>124</v>
      </c>
      <c r="D31" s="328"/>
      <c r="G31" s="331"/>
      <c r="H31" s="332"/>
      <c r="I31" s="333"/>
      <c r="J31" s="332"/>
      <c r="K31" s="305"/>
    </row>
    <row r="32" spans="2:11" ht="13.5" thickTop="1">
      <c r="B32" s="307"/>
      <c r="G32" s="334" t="s">
        <v>266</v>
      </c>
      <c r="H32" s="335"/>
      <c r="I32" s="336"/>
      <c r="J32" s="335"/>
      <c r="K32" s="337"/>
    </row>
    <row r="33" spans="2:12">
      <c r="B33" s="399" t="s">
        <v>265</v>
      </c>
      <c r="C33" s="400"/>
      <c r="D33" s="400"/>
      <c r="G33" s="338" t="s">
        <v>195</v>
      </c>
      <c r="H33" s="339"/>
      <c r="I33" s="340"/>
      <c r="J33" s="339"/>
      <c r="K33" s="341"/>
    </row>
    <row r="34" spans="2:12">
      <c r="B34" s="175">
        <f>IF('Data Input'!AA22&gt;0,"Check C43.",SUMIFS('Data Input'!J5:J21,'Data Input'!T5:T21,1,'Data Input'!O5:O21,"Residential")+SUMIFS('Data Input'!M5:M21,'Data Input'!W5:W21,1,'Data Input'!O5:O21,"Residential"))</f>
        <v>0</v>
      </c>
      <c r="C34" s="318" t="s">
        <v>61</v>
      </c>
      <c r="G34" s="342"/>
      <c r="H34" s="339"/>
      <c r="I34" s="339"/>
      <c r="J34" s="339"/>
      <c r="K34" s="341"/>
    </row>
    <row r="35" spans="2:12">
      <c r="B35" s="175">
        <f>IF('Data Input'!AA22&gt;0,"Check C43.",SUMIFS('Data Input'!J5:J21,'Data Input'!T5:T21,1,'Data Input'!P5:P21,"Non-res")+SUMIFS('Data Input'!M5:M21,'Data Input'!W5:W21,1,'Data Input'!P5:P21,"Non-res"))</f>
        <v>0</v>
      </c>
      <c r="C35" s="318" t="s">
        <v>62</v>
      </c>
      <c r="G35" s="342"/>
      <c r="H35" s="339"/>
      <c r="I35" s="340"/>
      <c r="J35" s="343" t="s">
        <v>193</v>
      </c>
      <c r="K35" s="344">
        <f>B25</f>
        <v>0</v>
      </c>
    </row>
    <row r="36" spans="2:12" ht="13.5" thickBot="1">
      <c r="B36" s="176">
        <f>SUM(B34:B35)</f>
        <v>0</v>
      </c>
      <c r="C36" s="345" t="s">
        <v>125</v>
      </c>
      <c r="D36" s="328"/>
      <c r="G36" s="342"/>
      <c r="H36" s="339"/>
      <c r="I36" s="340"/>
      <c r="J36" s="343" t="s">
        <v>194</v>
      </c>
      <c r="K36" s="346">
        <f>B30</f>
        <v>0</v>
      </c>
    </row>
    <row r="37" spans="2:12" ht="13.5" thickTop="1">
      <c r="B37" s="347"/>
      <c r="C37" s="348"/>
      <c r="D37" s="312"/>
      <c r="G37" s="342"/>
      <c r="H37" s="339"/>
      <c r="I37" s="340"/>
      <c r="J37" s="343" t="s">
        <v>196</v>
      </c>
      <c r="K37" s="349">
        <f>B35</f>
        <v>0</v>
      </c>
    </row>
    <row r="38" spans="2:12" ht="13.5" thickBot="1">
      <c r="B38" s="350" t="s">
        <v>304</v>
      </c>
      <c r="C38" s="348"/>
      <c r="D38" s="312"/>
      <c r="G38" s="351"/>
      <c r="H38" s="352"/>
      <c r="I38" s="353"/>
      <c r="J38" s="352"/>
      <c r="K38" s="354"/>
    </row>
    <row r="39" spans="2:12">
      <c r="B39" s="380" t="s">
        <v>165</v>
      </c>
      <c r="C39" s="380"/>
      <c r="D39" s="116" t="str">
        <f>IF(OR('Data Input'!K22&gt;0,'Data Input'!K23&gt;0, 'Data Input'!M22&gt;0,'Data Input'!M23&gt;0),"Yes", "No")</f>
        <v>No</v>
      </c>
    </row>
    <row r="40" spans="2:12">
      <c r="B40" s="380" t="s">
        <v>166</v>
      </c>
      <c r="C40" s="380"/>
      <c r="D40" s="116" t="str">
        <f>IF(AND('Data Input'!K23=0,'Data Input'!L23=0,'Data Input'!M23=0),"Yes", "No")</f>
        <v>Yes</v>
      </c>
      <c r="E40" s="355"/>
      <c r="F40" s="381" t="s">
        <v>129</v>
      </c>
      <c r="G40" s="382"/>
      <c r="H40" s="382"/>
      <c r="I40" s="382"/>
      <c r="J40" s="382"/>
      <c r="K40" s="382"/>
      <c r="L40" s="383"/>
    </row>
    <row r="41" spans="2:12">
      <c r="B41" s="380" t="s">
        <v>167</v>
      </c>
      <c r="C41" s="380"/>
      <c r="D41" s="117" t="str" cm="1">
        <f t="array" ref="D41">_xlfn.SWITCH(D39, "Yes", IF(AND(D40="Yes",'Consultant Report'!H16&gt;0), "Yes",  "No"), "No", "N/A")</f>
        <v>N/A</v>
      </c>
      <c r="E41" s="118"/>
      <c r="F41" s="384"/>
      <c r="G41" s="385"/>
      <c r="H41" s="385"/>
      <c r="I41" s="385"/>
      <c r="J41" s="385"/>
      <c r="K41" s="385"/>
      <c r="L41" s="386"/>
    </row>
    <row r="42" spans="2:12" ht="5.25" customHeight="1">
      <c r="B42" s="118"/>
      <c r="C42" s="118"/>
      <c r="D42" s="118"/>
      <c r="E42" s="118"/>
      <c r="F42" s="118"/>
      <c r="G42" s="118"/>
      <c r="H42" s="118"/>
      <c r="I42" s="118"/>
    </row>
    <row r="43" spans="2:12">
      <c r="B43" s="379" t="s">
        <v>275</v>
      </c>
      <c r="C43" s="379"/>
      <c r="D43" s="119" t="str">
        <f>IF(OR('Data Input'!Y22&gt;0,'Data Input'!Z22&gt;0,'Data Input'!AA22&gt;0), "Yes", "No")</f>
        <v>No</v>
      </c>
      <c r="E43" s="118"/>
      <c r="F43" s="356" t="s">
        <v>42</v>
      </c>
      <c r="G43" s="356" t="s">
        <v>41</v>
      </c>
      <c r="H43" s="356" t="s">
        <v>43</v>
      </c>
      <c r="I43" s="118"/>
    </row>
    <row r="44" spans="2:12">
      <c r="B44" s="118"/>
      <c r="C44" s="118"/>
      <c r="D44" s="377"/>
      <c r="E44" s="378"/>
      <c r="F44" s="115" t="str" cm="1">
        <f t="array" ref="F44">_xlfn._xlws.FILTER(ROW('Data Input'!Y5:Y21), 'Data Input'!Y5:Y21=1, "None")</f>
        <v>None</v>
      </c>
      <c r="G44" s="115" t="str" cm="1">
        <f t="array" ref="G44">_xlfn._xlws.FILTER(ROW('Data Input'!Z5:Z21), 'Data Input'!Z5:Z21=1, "None")</f>
        <v>None</v>
      </c>
      <c r="H44" s="115" t="str" cm="1">
        <f t="array" ref="H44">_xlfn._xlws.FILTER(ROW('Data Input'!AA5:AA21), 'Data Input'!AA5:AA21=1, "None")</f>
        <v>None</v>
      </c>
      <c r="I44" s="357" t="s">
        <v>164</v>
      </c>
    </row>
    <row r="45" spans="2:12">
      <c r="B45" s="118"/>
      <c r="C45" s="118"/>
      <c r="D45" s="118"/>
      <c r="E45" s="118"/>
      <c r="F45" s="115"/>
      <c r="G45" s="115"/>
      <c r="H45" s="115"/>
      <c r="I45" s="118"/>
    </row>
    <row r="46" spans="2:12">
      <c r="B46" s="118"/>
      <c r="C46" s="118"/>
      <c r="D46" s="118"/>
      <c r="E46" s="118"/>
      <c r="F46" s="115"/>
      <c r="G46" s="115"/>
      <c r="H46" s="115"/>
      <c r="I46" s="118"/>
    </row>
    <row r="47" spans="2:12">
      <c r="B47" s="118"/>
      <c r="C47" s="118"/>
      <c r="D47" s="118"/>
      <c r="E47" s="118"/>
      <c r="F47" s="115"/>
      <c r="G47" s="115"/>
      <c r="H47" s="115"/>
      <c r="I47" s="118"/>
    </row>
    <row r="48" spans="2:12">
      <c r="B48" s="118"/>
      <c r="C48" s="118"/>
      <c r="D48" s="118"/>
      <c r="E48" s="118"/>
      <c r="F48" s="115"/>
      <c r="G48" s="115"/>
      <c r="H48" s="115"/>
      <c r="I48" s="118"/>
    </row>
    <row r="49" spans="2:9">
      <c r="B49" s="118"/>
      <c r="C49" s="118"/>
      <c r="D49" s="118"/>
      <c r="E49" s="118"/>
      <c r="F49" s="115"/>
      <c r="G49" s="115"/>
      <c r="H49" s="115"/>
      <c r="I49" s="118"/>
    </row>
    <row r="50" spans="2:9">
      <c r="B50" s="118"/>
      <c r="C50" s="118"/>
      <c r="D50" s="118"/>
      <c r="E50" s="118"/>
      <c r="F50" s="115"/>
      <c r="G50" s="115"/>
      <c r="H50" s="115"/>
      <c r="I50" s="118"/>
    </row>
    <row r="51" spans="2:9">
      <c r="B51" s="118"/>
      <c r="C51" s="118"/>
      <c r="D51" s="118"/>
      <c r="E51" s="118"/>
      <c r="F51" s="115"/>
      <c r="G51" s="115"/>
      <c r="H51" s="115"/>
      <c r="I51" s="118"/>
    </row>
    <row r="52" spans="2:9">
      <c r="B52" s="118"/>
      <c r="C52" s="118"/>
      <c r="D52" s="118"/>
      <c r="E52" s="118"/>
      <c r="F52" s="115"/>
      <c r="G52" s="115"/>
      <c r="H52" s="115"/>
      <c r="I52" s="118"/>
    </row>
    <row r="53" spans="2:9">
      <c r="B53" s="118"/>
      <c r="C53" s="118"/>
      <c r="D53" s="118"/>
      <c r="E53" s="118"/>
      <c r="F53" s="115"/>
      <c r="G53" s="115"/>
      <c r="H53" s="115"/>
      <c r="I53" s="118"/>
    </row>
    <row r="54" spans="2:9">
      <c r="B54" s="118"/>
      <c r="C54" s="118"/>
      <c r="D54" s="118"/>
      <c r="E54" s="118"/>
      <c r="F54" s="115"/>
      <c r="G54" s="115"/>
      <c r="H54" s="115"/>
      <c r="I54" s="118"/>
    </row>
    <row r="55" spans="2:9">
      <c r="B55" s="118"/>
      <c r="C55" s="118"/>
      <c r="D55" s="118"/>
      <c r="E55" s="118"/>
      <c r="F55" s="115"/>
      <c r="G55" s="115"/>
      <c r="H55" s="115"/>
      <c r="I55" s="118"/>
    </row>
    <row r="56" spans="2:9">
      <c r="B56" s="118"/>
      <c r="C56" s="118"/>
      <c r="D56" s="118"/>
      <c r="E56" s="118"/>
      <c r="F56" s="115"/>
      <c r="G56" s="115"/>
      <c r="H56" s="115"/>
      <c r="I56" s="118"/>
    </row>
    <row r="57" spans="2:9">
      <c r="B57" s="118"/>
      <c r="C57" s="118"/>
      <c r="D57" s="118"/>
      <c r="E57" s="118"/>
      <c r="F57" s="115"/>
      <c r="G57" s="115"/>
      <c r="H57" s="115"/>
      <c r="I57" s="118"/>
    </row>
    <row r="58" spans="2:9">
      <c r="B58" s="118"/>
      <c r="C58" s="118"/>
      <c r="D58" s="118"/>
      <c r="E58" s="118"/>
      <c r="F58" s="115"/>
      <c r="G58" s="115"/>
      <c r="H58" s="115"/>
      <c r="I58" s="118"/>
    </row>
    <row r="59" spans="2:9">
      <c r="B59" s="118"/>
      <c r="C59" s="118"/>
      <c r="D59" s="118"/>
      <c r="E59" s="118"/>
      <c r="F59" s="115"/>
      <c r="G59" s="115"/>
      <c r="H59" s="115"/>
      <c r="I59" s="118"/>
    </row>
    <row r="60" spans="2:9">
      <c r="B60" s="118"/>
      <c r="C60" s="118"/>
      <c r="D60" s="118"/>
      <c r="E60" s="118"/>
      <c r="F60" s="358"/>
      <c r="G60" s="358"/>
      <c r="H60" s="358"/>
      <c r="I60" s="118"/>
    </row>
    <row r="61" spans="2:9">
      <c r="B61" s="118"/>
      <c r="C61" s="118"/>
      <c r="D61" s="118"/>
      <c r="E61" s="118"/>
      <c r="F61" s="358"/>
      <c r="G61" s="358"/>
      <c r="H61" s="358"/>
      <c r="I61" s="118"/>
    </row>
    <row r="62" spans="2:9">
      <c r="B62" s="118"/>
      <c r="C62" s="118"/>
      <c r="D62" s="118"/>
      <c r="E62" s="118"/>
      <c r="F62" s="358"/>
      <c r="G62" s="358"/>
      <c r="H62" s="358"/>
      <c r="I62" s="118"/>
    </row>
    <row r="63" spans="2:9">
      <c r="B63" s="118"/>
      <c r="C63" s="118"/>
      <c r="D63" s="118"/>
      <c r="E63" s="118"/>
      <c r="F63" s="358"/>
      <c r="G63" s="358"/>
      <c r="H63" s="358"/>
      <c r="I63" s="118"/>
    </row>
    <row r="64" spans="2:9">
      <c r="B64" s="118"/>
      <c r="C64" s="118"/>
      <c r="D64" s="118"/>
      <c r="E64" s="118"/>
      <c r="F64" s="358"/>
      <c r="G64" s="358"/>
      <c r="H64" s="358"/>
      <c r="I64" s="118"/>
    </row>
    <row r="65" spans="2:9">
      <c r="B65" s="118"/>
      <c r="C65" s="118"/>
      <c r="D65" s="118"/>
      <c r="E65" s="118"/>
      <c r="F65" s="358"/>
      <c r="G65" s="358"/>
      <c r="H65" s="358"/>
      <c r="I65" s="118"/>
    </row>
    <row r="66" spans="2:9">
      <c r="B66" s="118"/>
      <c r="C66" s="118"/>
      <c r="D66" s="118"/>
      <c r="E66" s="118"/>
      <c r="F66" s="358"/>
      <c r="G66" s="358"/>
      <c r="H66" s="358"/>
      <c r="I66" s="118"/>
    </row>
    <row r="67" spans="2:9">
      <c r="B67" s="118"/>
      <c r="C67" s="118"/>
      <c r="D67" s="118"/>
      <c r="E67" s="118"/>
      <c r="F67" s="358"/>
      <c r="G67" s="358"/>
      <c r="H67" s="358"/>
      <c r="I67" s="118"/>
    </row>
    <row r="68" spans="2:9">
      <c r="B68" s="118"/>
      <c r="C68" s="118"/>
      <c r="D68" s="118"/>
      <c r="E68" s="118"/>
      <c r="F68" s="358"/>
      <c r="G68" s="358"/>
      <c r="H68" s="358"/>
      <c r="I68" s="118"/>
    </row>
    <row r="69" spans="2:9">
      <c r="B69" s="118"/>
      <c r="C69" s="118"/>
      <c r="D69" s="118"/>
      <c r="E69" s="118"/>
      <c r="F69" s="358"/>
      <c r="G69" s="358"/>
      <c r="H69" s="358"/>
      <c r="I69" s="118"/>
    </row>
    <row r="70" spans="2:9">
      <c r="F70" s="325"/>
      <c r="G70" s="325"/>
      <c r="H70" s="325"/>
    </row>
  </sheetData>
  <sheetProtection algorithmName="SHA-512" hashValue="5sLnggLEqmySbPivWsrzoSh6AAJTgLaY1LVEcFfdZX4EgXGejPkdKUVAGKJCOewQtEMuuUFAA5BADpaUVPTobA==" saltValue="KOmPXL0PVhpU3BKBh9GoVg==" spinCount="100000" sheet="1" objects="1" scenarios="1"/>
  <mergeCells count="15">
    <mergeCell ref="B1:I1"/>
    <mergeCell ref="D44:E44"/>
    <mergeCell ref="B43:C43"/>
    <mergeCell ref="B40:C40"/>
    <mergeCell ref="B41:C41"/>
    <mergeCell ref="F40:L41"/>
    <mergeCell ref="B39:C39"/>
    <mergeCell ref="B9:I11"/>
    <mergeCell ref="B13:I13"/>
    <mergeCell ref="B23:E23"/>
    <mergeCell ref="B28:D28"/>
    <mergeCell ref="B33:D33"/>
    <mergeCell ref="B8:I8"/>
    <mergeCell ref="B14:I14"/>
    <mergeCell ref="E18:I18"/>
  </mergeCells>
  <conditionalFormatting sqref="D39:D41">
    <cfRule type="containsText" dxfId="19" priority="4" operator="containsText" text="Yes">
      <formula>NOT(ISERROR(SEARCH("Yes",D39)))</formula>
    </cfRule>
  </conditionalFormatting>
  <conditionalFormatting sqref="D40:D41">
    <cfRule type="containsText" dxfId="18" priority="3" operator="containsText" text="No">
      <formula>NOT(ISERROR(SEARCH("No",D40)))</formula>
    </cfRule>
  </conditionalFormatting>
  <conditionalFormatting sqref="D43">
    <cfRule type="containsText" dxfId="17" priority="1" operator="containsText" text="Yes">
      <formula>NOT(ISERROR(SEARCH("Yes",D43)))</formula>
    </cfRule>
  </conditionalFormatting>
  <conditionalFormatting sqref="F44:H59">
    <cfRule type="containsText" dxfId="16" priority="2" operator="containsText" text="None">
      <formula>NOT(ISERROR(SEARCH("None",F44)))</formula>
    </cfRule>
  </conditionalFormatting>
  <hyperlinks>
    <hyperlink ref="B2" location="'About &amp; How to Use'!A1" display="Click here to review how to complete the document" xr:uid="{6047CD98-E1FC-4C59-9B97-05E467D5B288}"/>
  </hyperlinks>
  <printOptions headings="1" gridLines="1"/>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AF70"/>
  <sheetViews>
    <sheetView showGridLines="0" zoomScaleNormal="100" workbookViewId="0">
      <pane ySplit="2" topLeftCell="A3" activePane="bottomLeft" state="frozen"/>
      <selection pane="bottomLeft" activeCell="E8" sqref="E8"/>
    </sheetView>
  </sheetViews>
  <sheetFormatPr defaultColWidth="9.140625" defaultRowHeight="12.75" outlineLevelCol="1"/>
  <cols>
    <col min="1" max="1" width="20.42578125" style="4" customWidth="1"/>
    <col min="2" max="2" width="31.42578125" style="4" customWidth="1"/>
    <col min="3" max="3" width="31" style="4" customWidth="1"/>
    <col min="4" max="4" width="25.140625" style="4" customWidth="1"/>
    <col min="5" max="5" width="30.28515625" style="4" customWidth="1"/>
    <col min="6" max="6" width="18.7109375" style="4" customWidth="1"/>
    <col min="7" max="7" width="23.85546875" style="4" customWidth="1" outlineLevel="1"/>
    <col min="8" max="8" width="22.140625" style="4" customWidth="1" outlineLevel="1"/>
    <col min="9" max="9" width="14.28515625" style="13" customWidth="1" outlineLevel="1"/>
    <col min="10" max="10" width="22.140625" style="4" customWidth="1" outlineLevel="1"/>
    <col min="11" max="13" width="18.7109375" style="4" customWidth="1"/>
    <col min="14" max="14" width="25.7109375" style="4" customWidth="1"/>
    <col min="15" max="15" width="16.42578125" style="55" hidden="1" customWidth="1"/>
    <col min="16" max="16" width="10.7109375" style="4" hidden="1" customWidth="1"/>
    <col min="17" max="23" width="9.140625" style="4" hidden="1" customWidth="1"/>
    <col min="24" max="24" width="3.28515625" style="4" hidden="1" customWidth="1"/>
    <col min="25" max="28" width="9.140625" style="4" hidden="1" customWidth="1"/>
    <col min="29" max="29" width="10.28515625" style="4" hidden="1" customWidth="1"/>
    <col min="30" max="30" width="11.85546875" style="4" hidden="1" customWidth="1"/>
    <col min="31" max="31" width="9.140625" style="4" hidden="1" customWidth="1"/>
    <col min="32" max="16384" width="9.140625" style="4"/>
  </cols>
  <sheetData>
    <row r="1" spans="1:32" ht="23.25" customHeight="1">
      <c r="A1" s="420" t="s">
        <v>330</v>
      </c>
      <c r="B1" s="420"/>
      <c r="C1" s="420"/>
      <c r="D1" s="420"/>
      <c r="E1" s="420"/>
      <c r="F1" s="420"/>
      <c r="G1" s="420"/>
      <c r="H1" s="420"/>
      <c r="I1" s="420"/>
      <c r="J1" s="420"/>
      <c r="K1" s="420"/>
      <c r="L1" s="420"/>
      <c r="M1" s="420"/>
      <c r="N1" s="420"/>
      <c r="O1" s="412" t="s">
        <v>161</v>
      </c>
      <c r="P1" s="412"/>
      <c r="Q1" s="412"/>
      <c r="R1" s="412"/>
      <c r="S1" s="412"/>
      <c r="T1" s="412"/>
      <c r="U1" s="412"/>
      <c r="V1" s="412"/>
      <c r="W1" s="412"/>
      <c r="X1" s="412"/>
      <c r="Y1" s="412"/>
      <c r="Z1" s="412"/>
      <c r="AA1" s="412"/>
      <c r="AB1" s="412"/>
      <c r="AC1" s="412"/>
      <c r="AD1" s="412"/>
      <c r="AE1" s="412"/>
    </row>
    <row r="2" spans="1:32" ht="18.75" customHeight="1">
      <c r="A2" s="411" t="s">
        <v>133</v>
      </c>
      <c r="B2" s="411"/>
      <c r="C2" s="411"/>
      <c r="D2" s="411"/>
      <c r="E2" s="411"/>
      <c r="F2" s="411"/>
      <c r="G2" s="410" t="s">
        <v>90</v>
      </c>
      <c r="H2" s="410"/>
      <c r="I2" s="410"/>
      <c r="J2" s="410"/>
      <c r="K2" s="411" t="s">
        <v>132</v>
      </c>
      <c r="L2" s="411"/>
      <c r="M2" s="411"/>
      <c r="N2" s="190" t="s">
        <v>202</v>
      </c>
      <c r="O2" s="63"/>
      <c r="P2" s="28"/>
      <c r="Q2" s="410" t="s">
        <v>90</v>
      </c>
      <c r="R2" s="410"/>
      <c r="S2" s="410"/>
      <c r="T2" s="410"/>
      <c r="U2" s="411" t="s">
        <v>132</v>
      </c>
      <c r="V2" s="411"/>
      <c r="W2" s="411"/>
    </row>
    <row r="3" spans="1:32" s="8" customFormat="1" ht="34.5" customHeight="1">
      <c r="A3" s="212" t="s">
        <v>209</v>
      </c>
      <c r="B3" s="212" t="s">
        <v>209</v>
      </c>
      <c r="C3" s="40" t="s">
        <v>305</v>
      </c>
      <c r="D3" s="143" t="s">
        <v>306</v>
      </c>
      <c r="E3" s="212" t="s">
        <v>310</v>
      </c>
      <c r="F3" s="212" t="s">
        <v>312</v>
      </c>
      <c r="G3" s="109" t="s">
        <v>212</v>
      </c>
      <c r="H3" s="108" t="s">
        <v>213</v>
      </c>
      <c r="I3" s="105" t="s">
        <v>216</v>
      </c>
      <c r="J3" s="105" t="s">
        <v>214</v>
      </c>
      <c r="K3" s="110" t="s">
        <v>217</v>
      </c>
      <c r="L3" s="107" t="s">
        <v>210</v>
      </c>
      <c r="M3" s="106" t="s">
        <v>211</v>
      </c>
      <c r="N3" s="174" t="s">
        <v>207</v>
      </c>
      <c r="O3" s="64"/>
      <c r="Q3" s="36" t="s">
        <v>42</v>
      </c>
      <c r="R3" s="36" t="s">
        <v>41</v>
      </c>
      <c r="S3" s="113" t="s">
        <v>110</v>
      </c>
      <c r="T3" s="36" t="s">
        <v>43</v>
      </c>
      <c r="U3" s="37" t="s">
        <v>42</v>
      </c>
      <c r="V3" s="37" t="s">
        <v>41</v>
      </c>
      <c r="W3" s="37" t="s">
        <v>43</v>
      </c>
      <c r="Y3" s="25" t="s">
        <v>182</v>
      </c>
      <c r="Z3" s="4"/>
      <c r="AA3" s="4"/>
      <c r="AB3" s="148" t="s">
        <v>185</v>
      </c>
      <c r="AC3" s="147" t="s">
        <v>186</v>
      </c>
      <c r="AD3" s="160">
        <v>0.05</v>
      </c>
    </row>
    <row r="4" spans="1:32" s="14" customFormat="1" ht="42" customHeight="1">
      <c r="A4" s="38" t="s">
        <v>2</v>
      </c>
      <c r="B4" s="39" t="str">
        <f>ADWUT!B10</f>
        <v>Development Sub-Type</v>
      </c>
      <c r="C4" s="360" t="s">
        <v>160</v>
      </c>
      <c r="D4" s="40" t="s">
        <v>307</v>
      </c>
      <c r="E4" s="132" t="s">
        <v>311</v>
      </c>
      <c r="F4" s="144" t="s">
        <v>176</v>
      </c>
      <c r="G4" s="40" t="s">
        <v>197</v>
      </c>
      <c r="H4" s="40" t="s">
        <v>198</v>
      </c>
      <c r="I4" s="213" t="s">
        <v>215</v>
      </c>
      <c r="J4" s="40" t="s">
        <v>199</v>
      </c>
      <c r="K4" s="40" t="s">
        <v>197</v>
      </c>
      <c r="L4" s="40" t="s">
        <v>198</v>
      </c>
      <c r="M4" s="40" t="s">
        <v>200</v>
      </c>
      <c r="N4" s="40" t="s">
        <v>184</v>
      </c>
      <c r="O4" s="104" t="s">
        <v>91</v>
      </c>
      <c r="P4" s="104" t="s">
        <v>163</v>
      </c>
      <c r="Y4" s="103" t="s">
        <v>42</v>
      </c>
      <c r="Z4" s="103" t="s">
        <v>41</v>
      </c>
      <c r="AA4" s="103" t="s">
        <v>43</v>
      </c>
      <c r="AB4" s="134" t="s">
        <v>183</v>
      </c>
      <c r="AC4" s="104"/>
      <c r="AD4" s="104"/>
      <c r="AE4" s="104"/>
    </row>
    <row r="5" spans="1:32" ht="25.5" customHeight="1">
      <c r="A5" s="124"/>
      <c r="B5" s="157"/>
      <c r="C5" s="283" t="str">
        <f>IF(B5&lt;&gt;"", VLOOKUP(B5,ADWUT!$B$11:$F$997,5,FALSE),"")</f>
        <v/>
      </c>
      <c r="D5" s="124"/>
      <c r="E5" s="124"/>
      <c r="F5" s="125"/>
      <c r="G5" s="180" t="str" cm="1">
        <f t="array" ref="G5">IFERROR(_xlfn.SWITCH($O5,
"Residential",             _xlfn.SWITCH($E5,"Yes - PW&amp;RW (Std value)",VLOOKUP($B5,ADWUT!$B$11:$K$998,9,FALSE)*$D5/1000,"No - PW only (Std value)",VLOOKUP($B5,ADWUT!$B$11:$K$998,4,FALSE)*$D5/1000,"Other PW &amp; RW ratio", "Consultant entry required", "Other PW only","Consultant entry required","Not required"),
"Non-residential",    _xlfn.SWITCH($E5,"Yes - PW&amp;RW (Std value)",VLOOKUP($B5,ADWUT!$B$11:$K$998,4,FALSE)*VLOOKUP($B5,ADWUT!$B$11:$K$998,9,FALSE)*$D5/1000,"No - PW only (Std value)",VLOOKUP($B5,ADWUT!$B$11:$K$998,4,FALSE)*$D5/1000,"Other PW &amp; RW ratio", "Consultant entry required", "Other PW only","Consultant entry required","Not required"),
"Non-res special",    IF($E5="PW&amp;RW not required", "Not required","Consultant entry required")
), "")</f>
        <v/>
      </c>
      <c r="H5" s="180" t="str" cm="1">
        <f t="array" ref="H5">IFERROR(_xlfn.SWITCH($O5,
"Residential",            _xlfn.SWITCH($E5,"Yes - PW&amp;RW (Std value)",VLOOKUP($B5,ADWUT!$B$11:$K$998,10,FALSE)*$D5/1000,"Other PW &amp; RW ratio","Consultant entry required","Not required"),
"Non-residential",   _xlfn.SWITCH($E5,"Yes - PW&amp;RW (Std value)",VLOOKUP($B5,ADWUT!$B$11:$K$998,4,FALSE)*VLOOKUP($B5,ADWUT!$B$11:$K$998,10,FALSE)*$D5/1000,"Other PW &amp; RW ratio","Consultant entry required","Not required"),
"Non-res special",   IF(OR($E5="No - PW only (Std value)", $E5="Other PW only", $E5="PW&amp;RW not required"), "Not required", "Consultant entry required")),"")</f>
        <v/>
      </c>
      <c r="I5" s="180" t="str" cm="1">
        <f t="array" ref="I5">IF($F5&lt;&gt;"", _xlfn.SWITCH($F5, "Standard",
          IF(OR(ISNUMBER(SEARCH("Not", G5)), ISNUMBER(SEARCH("Consultant", G5))), "N/A", VLOOKUP($B5,ADWUT!$B$11:$I$214,8,FALSE)),
"Not required"), "")</f>
        <v/>
      </c>
      <c r="J5" s="180" t="str" cm="1">
        <f t="array" ref="J5">IFERROR(_xlfn.SWITCH($F5,
"Other",                            "Consultant entry required",
"WW not required",    "WW not required",
"Standard",                     IF(A5="Residential", _xlfn.SWITCH(LEFT(B5, 4), "Sing", D5*ADWUT!$N$11/1000, "Town", D5*ADWUT!$N$12/1000, "Mult", D5*ADWUT!$N$13/1000), IF(ISNUMBER($H5), ($G5+$H5)*$I5, $G5*$I5))
),"")</f>
        <v/>
      </c>
      <c r="K5" s="181" t="s">
        <v>334</v>
      </c>
      <c r="L5" s="181" t="s">
        <v>334</v>
      </c>
      <c r="M5" s="181" t="s">
        <v>334</v>
      </c>
      <c r="N5" s="153" t="str">
        <f>IFERROR(IF(ISNUMBER($K5), IF($AD5="Ok", "Acceptable", "Consultant value is below average"),"N/A"), "Contact Sydney Water!")</f>
        <v>N/A</v>
      </c>
      <c r="O5" s="102" t="str">
        <f>IFERROR(VLOOKUP($B5,ADWUT!$B$11:$H$997,7,FALSE), "")</f>
        <v/>
      </c>
      <c r="P5" s="102" t="str">
        <f>LEFT(O5,7)</f>
        <v/>
      </c>
      <c r="Q5" s="88">
        <f t="shared" ref="Q5:R10" si="0">IF(ISNUMBER(G5), 1, 0)</f>
        <v>0</v>
      </c>
      <c r="R5" s="89">
        <f t="shared" si="0"/>
        <v>0</v>
      </c>
      <c r="S5" s="90"/>
      <c r="T5" s="91">
        <f t="shared" ref="T5:W10" si="1">IF(ISNUMBER(J5), 1, 0)</f>
        <v>0</v>
      </c>
      <c r="U5" s="88">
        <f t="shared" si="1"/>
        <v>0</v>
      </c>
      <c r="V5" s="89">
        <f t="shared" si="1"/>
        <v>0</v>
      </c>
      <c r="W5" s="91">
        <f t="shared" si="1"/>
        <v>0</v>
      </c>
      <c r="Y5" s="88">
        <f>IF(AND(Q5=1, U5=1), 1, 0)</f>
        <v>0</v>
      </c>
      <c r="Z5" s="89">
        <f>IF(AND(R5=1, V5=1), 1, 0)</f>
        <v>0</v>
      </c>
      <c r="AA5" s="91">
        <f>IF(AND(T5=1, W5=1), 1, 0)</f>
        <v>0</v>
      </c>
      <c r="AB5" s="189" t="str">
        <f>IFERROR(IF($E5="PW&amp;RW not required", 0, IF($O5="Non-res special",0, VLOOKUP($B5,ADWUT!$B$11:$K$998,4,FALSE)*$D5/1000)), "")</f>
        <v/>
      </c>
      <c r="AC5" s="91" cm="1">
        <f t="array" ref="AC5">IF(U5=1, _xlfn.SWITCH(V5, 0, K5, 1, K5+L5), 0)</f>
        <v>0</v>
      </c>
      <c r="AD5" s="189" t="e">
        <f>IF($AB5-$AC5&gt;AB5*$AD$3, ($AB5-$AC5)/1000, "Ok")</f>
        <v>#VALUE!</v>
      </c>
      <c r="AE5" s="91"/>
      <c r="AF5" s="152"/>
    </row>
    <row r="6" spans="1:32" ht="25.5" customHeight="1">
      <c r="A6" s="124"/>
      <c r="B6" s="157"/>
      <c r="C6" s="283" t="str">
        <f>IF(B6&lt;&gt;"", VLOOKUP(B6,ADWUT!$B$11:$F$997,5,FALSE),"")</f>
        <v/>
      </c>
      <c r="D6" s="124"/>
      <c r="E6" s="124"/>
      <c r="F6" s="125"/>
      <c r="G6" s="180" t="str" cm="1">
        <f t="array" ref="G6">IFERROR(_xlfn.SWITCH($O6,
"Residential",             _xlfn.SWITCH($E6,"Yes - PW&amp;RW (Std value)",VLOOKUP($B6,ADWUT!$B$11:$K$998,9,FALSE)*$D6/1000,"No - PW only (Std value)",VLOOKUP($B6,ADWUT!$B$11:$K$998,4,FALSE)*$D6/1000,"Other PW &amp; RW ratio", "Consultant entry required", "Other PW only","Consultant entry required","Not required"),
"Non-residential",    _xlfn.SWITCH($E6,"Yes - PW&amp;RW (Std value)",VLOOKUP($B6,ADWUT!$B$11:$K$998,4,FALSE)*VLOOKUP($B6,ADWUT!$B$11:$K$998,9,FALSE)*$D6/1000,"No - PW only (Std value)",VLOOKUP($B6,ADWUT!$B$11:$K$998,4,FALSE)*$D6/1000,"Other PW &amp; RW ratio", "Consultant entry required", "Other PW only","Consultant entry required","Not required"),
"Non-res special",    IF($E6="PW&amp;RW not required", "Not required","Consultant entry required")
), "")</f>
        <v/>
      </c>
      <c r="H6" s="180" t="str" cm="1">
        <f t="array" ref="H6">IFERROR(_xlfn.SWITCH($O6,
"Residential",            _xlfn.SWITCH($E6,"Yes - PW&amp;RW (Std value)",VLOOKUP($B6,ADWUT!$B$11:$K$998,10,FALSE)*$D6/1000,"Other PW &amp; RW ratio","Consultant entry required","Not required"),
"Non-residential",   _xlfn.SWITCH($E6,"Yes - PW&amp;RW (Std value)",VLOOKUP($B6,ADWUT!$B$11:$K$998,4,FALSE)*VLOOKUP($B6,ADWUT!$B$11:$K$998,10,FALSE)*$D6/1000,"Other PW &amp; RW ratio","Consultant entry required","Not required"),
"Non-res special",   IF(OR($E6="No - PW only (Std value)", $E6="Other PW only", $E6="PW&amp;RW not required"), "Not required", "Consultant entry required")),"")</f>
        <v/>
      </c>
      <c r="I6" s="180" t="str" cm="1">
        <f t="array" ref="I6">IF($F6&lt;&gt;"", _xlfn.SWITCH($F6, "Standard",
          IF(OR(ISNUMBER(SEARCH("Not", G6)), ISNUMBER(SEARCH("Consultant", G6))), "N/A", VLOOKUP($B6,ADWUT!$B$11:$I$214,8,FALSE)),
"Not required"), "")</f>
        <v/>
      </c>
      <c r="J6" s="180" t="str" cm="1">
        <f t="array" ref="J6">IFERROR(_xlfn.SWITCH($F6,
"Other",                            "Consultant entry required",
"WW not required",    "WW not required",
"Standard",                     IF(A6="Residential", _xlfn.SWITCH(LEFT(B6, 4), "Sing", D6*ADWUT!$N$11/1000, "Town", D6*ADWUT!$N$12/1000, "Mult", D6*ADWUT!$N$13/1000), IF(ISNUMBER($H6), ($G6+$H6)*$I6, $G6*$I6))
),"")</f>
        <v/>
      </c>
      <c r="K6" s="181" t="str">
        <f t="shared" ref="K6:K12" si="2">IF(ISNUMBER(SEARCH("Consultant", G6)),"Enter value here...","No entry required")</f>
        <v>No entry required</v>
      </c>
      <c r="L6" s="181" t="str">
        <f t="shared" ref="L6:L12" si="3">IF(ISNUMBER(SEARCH("Consultant", H6)),"Enter value here...","No entry required")</f>
        <v>No entry required</v>
      </c>
      <c r="M6" s="181" t="str">
        <f t="shared" ref="M6:M12" si="4">IF(ISNUMBER(SEARCH("Consultant", J6)),"Enter value here...","No entry required")</f>
        <v>No entry required</v>
      </c>
      <c r="N6" s="153" t="str">
        <f t="shared" ref="N6:N12" si="5">IFERROR(IF(ISNUMBER($K6), IF($AD6="Ok", "Acceptable", "Consultant value is below average"),"N/A"), "Contact Sydney Water!")</f>
        <v>N/A</v>
      </c>
      <c r="O6" s="102" t="str">
        <f>IFERROR(VLOOKUP($B6,ADWUT!$B$11:$H$997,7,FALSE), "")</f>
        <v/>
      </c>
      <c r="P6" s="102" t="str">
        <f t="shared" ref="P6:P17" si="6">LEFT(O6,7)</f>
        <v/>
      </c>
      <c r="Q6" s="92">
        <f t="shared" si="0"/>
        <v>0</v>
      </c>
      <c r="R6" s="93">
        <f t="shared" si="0"/>
        <v>0</v>
      </c>
      <c r="S6" s="94"/>
      <c r="T6" s="95">
        <f t="shared" si="1"/>
        <v>0</v>
      </c>
      <c r="U6" s="92">
        <f t="shared" si="1"/>
        <v>0</v>
      </c>
      <c r="V6" s="93">
        <f t="shared" si="1"/>
        <v>0</v>
      </c>
      <c r="W6" s="95">
        <f t="shared" si="1"/>
        <v>0</v>
      </c>
      <c r="Y6" s="92">
        <f>IF(AND(Q6=1, U6=1), 1, 0)</f>
        <v>0</v>
      </c>
      <c r="Z6" s="93">
        <f>IF(AND(R6=1, V6=1), 1, 0)</f>
        <v>0</v>
      </c>
      <c r="AA6" s="95">
        <f>IF(AND(T6=1, W6=1), 1, 0)</f>
        <v>0</v>
      </c>
      <c r="AB6" s="189" t="str">
        <f>IFERROR(IF($E6="PW&amp;RW not required", 0, IF($O6="Non-res special",0, VLOOKUP($B6,ADWUT!$B$11:$K$998,4,FALSE)*$D6/1000)), "")</f>
        <v/>
      </c>
      <c r="AC6" s="91" cm="1">
        <f t="array" ref="AC6">IF(U6=1, _xlfn.SWITCH(V6, 0, K6, 1, K6+L6), 0)</f>
        <v>0</v>
      </c>
      <c r="AD6" s="189" t="e">
        <f t="shared" ref="AD6:AD12" si="7">IF($AB6-$AC6&gt;AB6*$AD$3, ($AB6-$AC6)/1000, "Ok")</f>
        <v>#VALUE!</v>
      </c>
      <c r="AE6" s="95"/>
    </row>
    <row r="7" spans="1:32" ht="25.5" customHeight="1">
      <c r="A7" s="124"/>
      <c r="B7" s="157"/>
      <c r="C7" s="283" t="str">
        <f>IF(B7&lt;&gt;"", VLOOKUP(B7,ADWUT!$B$11:$F$997,5,FALSE),"")</f>
        <v/>
      </c>
      <c r="D7" s="124"/>
      <c r="E7" s="124"/>
      <c r="F7" s="125"/>
      <c r="G7" s="180" t="str" cm="1">
        <f t="array" ref="G7">IFERROR(_xlfn.SWITCH($O7,
"Residential",             _xlfn.SWITCH($E7,"Yes - PW&amp;RW (Std value)",VLOOKUP($B7,ADWUT!$B$11:$K$998,9,FALSE)*$D7/1000,"No - PW only (Std value)",VLOOKUP($B7,ADWUT!$B$11:$K$998,4,FALSE)*$D7/1000,"Other PW &amp; RW ratio", "Consultant entry required", "Other PW only","Consultant entry required","Not required"),
"Non-residential",    _xlfn.SWITCH($E7,"Yes - PW&amp;RW (Std value)",VLOOKUP($B7,ADWUT!$B$11:$K$998,4,FALSE)*VLOOKUP($B7,ADWUT!$B$11:$K$998,9,FALSE)*$D7/1000,"No - PW only (Std value)",VLOOKUP($B7,ADWUT!$B$11:$K$998,4,FALSE)*$D7/1000,"Other PW &amp; RW ratio", "Consultant entry required", "Other PW only","Consultant entry required","Not required"),
"Non-res special",    IF($E7="PW&amp;RW not required", "Not required","Consultant entry required")
), "")</f>
        <v/>
      </c>
      <c r="H7" s="180" t="str" cm="1">
        <f t="array" ref="H7">IFERROR(_xlfn.SWITCH($O7,
"Residential",            _xlfn.SWITCH($E7,"Yes - PW&amp;RW (Std value)",VLOOKUP($B7,ADWUT!$B$11:$K$998,10,FALSE)*$D7/1000,"Other PW &amp; RW ratio","Consultant entry required","Not required"),
"Non-residential",   _xlfn.SWITCH($E7,"Yes - PW&amp;RW (Std value)",VLOOKUP($B7,ADWUT!$B$11:$K$998,4,FALSE)*VLOOKUP($B7,ADWUT!$B$11:$K$998,10,FALSE)*$D7/1000,"Other PW &amp; RW ratio","Consultant entry required","Not required"),
"Non-res special",   IF(OR($E7="No - PW only (Std value)", $E7="Other PW only", $E7="PW&amp;RW not required"), "Not required", "Consultant entry required")),"")</f>
        <v/>
      </c>
      <c r="I7" s="180" t="str" cm="1">
        <f t="array" ref="I7">IF($F7&lt;&gt;"", _xlfn.SWITCH($F7, "Standard",
          IF(OR(ISNUMBER(SEARCH("Not", G7)), ISNUMBER(SEARCH("Consultant", G7))), "N/A", VLOOKUP($B7,ADWUT!$B$11:$I$214,8,FALSE)),
"Not required"), "")</f>
        <v/>
      </c>
      <c r="J7" s="180" t="str" cm="1">
        <f t="array" ref="J7">IFERROR(_xlfn.SWITCH($F7,
"Other",                            "Consultant entry required",
"WW not required",    "WW not required",
"Standard",                     IF(A7="Residential", _xlfn.SWITCH(LEFT(B7, 4), "Sing", D7*ADWUT!$N$11/1000, "Town", D7*ADWUT!$N$12/1000, "Mult", D7*ADWUT!$N$13/1000), IF(ISNUMBER($H7), ($G7+$H7)*$I7, $G7*$I7))
),"")</f>
        <v/>
      </c>
      <c r="K7" s="181" t="str">
        <f t="shared" si="2"/>
        <v>No entry required</v>
      </c>
      <c r="L7" s="181" t="str">
        <f t="shared" si="3"/>
        <v>No entry required</v>
      </c>
      <c r="M7" s="181" t="str">
        <f t="shared" si="4"/>
        <v>No entry required</v>
      </c>
      <c r="N7" s="153" t="str">
        <f t="shared" si="5"/>
        <v>N/A</v>
      </c>
      <c r="O7" s="102" t="str">
        <f>IFERROR(VLOOKUP($B7,ADWUT!$B$11:$H$997,7,FALSE), "")</f>
        <v/>
      </c>
      <c r="P7" s="102" t="str">
        <f t="shared" si="6"/>
        <v/>
      </c>
      <c r="Q7" s="92">
        <f t="shared" si="0"/>
        <v>0</v>
      </c>
      <c r="R7" s="93">
        <f t="shared" si="0"/>
        <v>0</v>
      </c>
      <c r="S7" s="94"/>
      <c r="T7" s="95">
        <f t="shared" si="1"/>
        <v>0</v>
      </c>
      <c r="U7" s="92">
        <f t="shared" si="1"/>
        <v>0</v>
      </c>
      <c r="V7" s="93">
        <f t="shared" si="1"/>
        <v>0</v>
      </c>
      <c r="W7" s="95">
        <f t="shared" si="1"/>
        <v>0</v>
      </c>
      <c r="Y7" s="92">
        <f t="shared" ref="Y7:Y21" si="8">IF(AND(Q7=1, U7=1), 1, 0)</f>
        <v>0</v>
      </c>
      <c r="Z7" s="93">
        <f t="shared" ref="Z7:Z21" si="9">IF(AND(R7=1, V7=1), 1, 0)</f>
        <v>0</v>
      </c>
      <c r="AA7" s="95">
        <f t="shared" ref="AA7:AA21" si="10">IF(AND(T7=1, W7=1), 1, 0)</f>
        <v>0</v>
      </c>
      <c r="AB7" s="189" t="str">
        <f>IFERROR(IF($E7="PW&amp;RW not required", 0, IF($O7="Non-res special",0, VLOOKUP($B7,ADWUT!$B$11:$K$998,4,FALSE)*$D7/1000)), "")</f>
        <v/>
      </c>
      <c r="AC7" s="91" cm="1">
        <f t="array" ref="AC7">IF(U7=1, _xlfn.SWITCH(V7, 0, K7, 1, K7+L7), 0)</f>
        <v>0</v>
      </c>
      <c r="AD7" s="189" t="e">
        <f t="shared" si="7"/>
        <v>#VALUE!</v>
      </c>
      <c r="AE7" s="95"/>
    </row>
    <row r="8" spans="1:32" ht="25.5" customHeight="1">
      <c r="A8" s="124"/>
      <c r="B8" s="157"/>
      <c r="C8" s="283" t="str">
        <f>IF(B8&lt;&gt;"", VLOOKUP(B8,ADWUT!$B$11:$F$997,5,FALSE),"")</f>
        <v/>
      </c>
      <c r="D8" s="124"/>
      <c r="E8" s="124"/>
      <c r="F8" s="125"/>
      <c r="G8" s="180" t="str" cm="1">
        <f t="array" ref="G8">IFERROR(_xlfn.SWITCH($O8,
"Residential",             _xlfn.SWITCH($E8,"Yes - PW&amp;RW (Std value)",VLOOKUP($B8,ADWUT!$B$11:$K$998,9,FALSE)*$D8/1000,"No - PW only (Std value)",VLOOKUP($B8,ADWUT!$B$11:$K$998,4,FALSE)*$D8/1000,"Other PW &amp; RW ratio", "Consultant entry required", "Other PW only","Consultant entry required","Not required"),
"Non-residential",    _xlfn.SWITCH($E8,"Yes - PW&amp;RW (Std value)",VLOOKUP($B8,ADWUT!$B$11:$K$998,4,FALSE)*VLOOKUP($B8,ADWUT!$B$11:$K$998,9,FALSE)*$D8/1000,"No - PW only (Std value)",VLOOKUP($B8,ADWUT!$B$11:$K$998,4,FALSE)*$D8/1000,"Other PW &amp; RW ratio", "Consultant entry required", "Other PW only","Consultant entry required","Not required"),
"Non-res special",    IF($E8="PW&amp;RW not required", "Not required","Consultant entry required")
), "")</f>
        <v/>
      </c>
      <c r="H8" s="180" t="str" cm="1">
        <f t="array" ref="H8">IFERROR(_xlfn.SWITCH($O8,
"Residential",            _xlfn.SWITCH($E8,"Yes - PW&amp;RW (Std value)",VLOOKUP($B8,ADWUT!$B$11:$K$998,10,FALSE)*$D8/1000,"Other PW &amp; RW ratio","Consultant entry required","Not required"),
"Non-residential",   _xlfn.SWITCH($E8,"Yes - PW&amp;RW (Std value)",VLOOKUP($B8,ADWUT!$B$11:$K$998,4,FALSE)*VLOOKUP($B8,ADWUT!$B$11:$K$998,10,FALSE)*$D8/1000,"Other PW &amp; RW ratio","Consultant entry required","Not required"),
"Non-res special",   IF(OR($E8="No - PW only (Std value)", $E8="Other PW only", $E8="PW&amp;RW not required"), "Not required", "Consultant entry required")),"")</f>
        <v/>
      </c>
      <c r="I8" s="180" t="str" cm="1">
        <f t="array" ref="I8">IF($F8&lt;&gt;"", _xlfn.SWITCH($F8, "Standard",
          IF(OR(ISNUMBER(SEARCH("Not", G8)), ISNUMBER(SEARCH("Consultant", G8))), "N/A", VLOOKUP($B8,ADWUT!$B$11:$I$214,8,FALSE)),
"Not required"), "")</f>
        <v/>
      </c>
      <c r="J8" s="180" t="str" cm="1">
        <f t="array" ref="J8">IFERROR(_xlfn.SWITCH($F8,
"Other",                            "Consultant entry required",
"WW not required",    "WW not required",
"Standard",                     IF(A8="Residential", _xlfn.SWITCH(LEFT(B8, 4), "Sing", D8*ADWUT!$N$11/1000, "Town", D8*ADWUT!$N$12/1000, "Mult", D8*ADWUT!$N$13/1000), IF(ISNUMBER($H8), ($G8+$H8)*$I8, $G8*$I8))
),"")</f>
        <v/>
      </c>
      <c r="K8" s="181" t="str">
        <f t="shared" si="2"/>
        <v>No entry required</v>
      </c>
      <c r="L8" s="181" t="str">
        <f t="shared" si="3"/>
        <v>No entry required</v>
      </c>
      <c r="M8" s="181" t="str">
        <f t="shared" si="4"/>
        <v>No entry required</v>
      </c>
      <c r="N8" s="153" t="str">
        <f t="shared" si="5"/>
        <v>N/A</v>
      </c>
      <c r="O8" s="102" t="str">
        <f>IFERROR(VLOOKUP($B8,ADWUT!$B$11:$H$997,7,FALSE), "")</f>
        <v/>
      </c>
      <c r="P8" s="102" t="str">
        <f t="shared" si="6"/>
        <v/>
      </c>
      <c r="Q8" s="92">
        <f t="shared" si="0"/>
        <v>0</v>
      </c>
      <c r="R8" s="93">
        <f t="shared" si="0"/>
        <v>0</v>
      </c>
      <c r="S8" s="94"/>
      <c r="T8" s="95">
        <f t="shared" si="1"/>
        <v>0</v>
      </c>
      <c r="U8" s="92">
        <f t="shared" si="1"/>
        <v>0</v>
      </c>
      <c r="V8" s="93">
        <f t="shared" si="1"/>
        <v>0</v>
      </c>
      <c r="W8" s="95">
        <f t="shared" si="1"/>
        <v>0</v>
      </c>
      <c r="Y8" s="92">
        <f t="shared" si="8"/>
        <v>0</v>
      </c>
      <c r="Z8" s="93">
        <f t="shared" si="9"/>
        <v>0</v>
      </c>
      <c r="AA8" s="95">
        <f t="shared" si="10"/>
        <v>0</v>
      </c>
      <c r="AB8" s="189" t="str">
        <f>IFERROR(IF($E8="PW&amp;RW not required", 0, IF($O8="Non-res special",0, VLOOKUP($B8,ADWUT!$B$11:$K$998,4,FALSE)*$D8/1000)), "")</f>
        <v/>
      </c>
      <c r="AC8" s="91" cm="1">
        <f t="array" ref="AC8">IF(U8=1, _xlfn.SWITCH(V8, 0, K8, 1, K8+L8), 0)</f>
        <v>0</v>
      </c>
      <c r="AD8" s="189" t="e">
        <f t="shared" si="7"/>
        <v>#VALUE!</v>
      </c>
      <c r="AE8" s="95"/>
      <c r="AF8" s="5"/>
    </row>
    <row r="9" spans="1:32" ht="25.5" customHeight="1">
      <c r="A9" s="124"/>
      <c r="B9" s="157"/>
      <c r="C9" s="283" t="str">
        <f>IF(B9&lt;&gt;"", VLOOKUP(B9,ADWUT!$B$11:$F$997,5,FALSE),"")</f>
        <v/>
      </c>
      <c r="D9" s="124"/>
      <c r="E9" s="124"/>
      <c r="F9" s="125"/>
      <c r="G9" s="180" t="str" cm="1">
        <f t="array" ref="G9">IFERROR(_xlfn.SWITCH($O9,
"Residential",             _xlfn.SWITCH($E9,"Yes - PW&amp;RW (Std value)",VLOOKUP($B9,ADWUT!$B$11:$K$998,9,FALSE)*$D9/1000,"No - PW only (Std value)",VLOOKUP($B9,ADWUT!$B$11:$K$998,4,FALSE)*$D9/1000,"Other PW &amp; RW ratio", "Consultant entry required", "Other PW only","Consultant entry required","Not required"),
"Non-residential",    _xlfn.SWITCH($E9,"Yes - PW&amp;RW (Std value)",VLOOKUP($B9,ADWUT!$B$11:$K$998,4,FALSE)*VLOOKUP($B9,ADWUT!$B$11:$K$998,9,FALSE)*$D9/1000,"No - PW only (Std value)",VLOOKUP($B9,ADWUT!$B$11:$K$998,4,FALSE)*$D9/1000,"Other PW &amp; RW ratio", "Consultant entry required", "Other PW only","Consultant entry required","Not required"),
"Non-res special",    IF($E9="PW&amp;RW not required", "Not required","Consultant entry required")
), "")</f>
        <v/>
      </c>
      <c r="H9" s="180" t="str" cm="1">
        <f t="array" ref="H9">IFERROR(_xlfn.SWITCH($O9,
"Residential",            _xlfn.SWITCH($E9,"Yes - PW&amp;RW (Std value)",VLOOKUP($B9,ADWUT!$B$11:$K$998,10,FALSE)*$D9/1000,"Other PW &amp; RW ratio","Consultant entry required","Not required"),
"Non-residential",   _xlfn.SWITCH($E9,"Yes - PW&amp;RW (Std value)",VLOOKUP($B9,ADWUT!$B$11:$K$998,4,FALSE)*VLOOKUP($B9,ADWUT!$B$11:$K$998,10,FALSE)*$D9/1000,"Other PW &amp; RW ratio","Consultant entry required","Not required"),
"Non-res special",   IF(OR($E9="No - PW only (Std value)", $E9="Other PW only", $E9="PW&amp;RW not required"), "Not required", "Consultant entry required")),"")</f>
        <v/>
      </c>
      <c r="I9" s="180" t="str" cm="1">
        <f t="array" ref="I9">IF($F9&lt;&gt;"", _xlfn.SWITCH($F9, "Standard",
          IF(OR(ISNUMBER(SEARCH("Not", G9)), ISNUMBER(SEARCH("Consultant", G9))), "N/A", VLOOKUP($B9,ADWUT!$B$11:$I$214,8,FALSE)),
"Not required"), "")</f>
        <v/>
      </c>
      <c r="J9" s="180" t="str" cm="1">
        <f t="array" ref="J9">IFERROR(_xlfn.SWITCH($F9,
"Other",                            "Consultant entry required",
"WW not required",    "WW not required",
"Standard",                     IF(A9="Residential", _xlfn.SWITCH(LEFT(B9, 4), "Sing", D9*ADWUT!$N$11/1000, "Town", D9*ADWUT!$N$12/1000, "Mult", D9*ADWUT!$N$13/1000), IF(ISNUMBER($H9), ($G9+$H9)*$I9, $G9*$I9))
),"")</f>
        <v/>
      </c>
      <c r="K9" s="181" t="str">
        <f t="shared" si="2"/>
        <v>No entry required</v>
      </c>
      <c r="L9" s="181" t="str">
        <f t="shared" si="3"/>
        <v>No entry required</v>
      </c>
      <c r="M9" s="181" t="str">
        <f t="shared" si="4"/>
        <v>No entry required</v>
      </c>
      <c r="N9" s="153" t="str">
        <f t="shared" si="5"/>
        <v>N/A</v>
      </c>
      <c r="O9" s="102" t="str">
        <f>IFERROR(VLOOKUP($B9,ADWUT!$B$11:$H$997,7,FALSE), "")</f>
        <v/>
      </c>
      <c r="P9" s="102" t="str">
        <f t="shared" si="6"/>
        <v/>
      </c>
      <c r="Q9" s="92">
        <f t="shared" si="0"/>
        <v>0</v>
      </c>
      <c r="R9" s="93">
        <f t="shared" si="0"/>
        <v>0</v>
      </c>
      <c r="S9" s="94"/>
      <c r="T9" s="95">
        <f t="shared" si="1"/>
        <v>0</v>
      </c>
      <c r="U9" s="92">
        <f t="shared" si="1"/>
        <v>0</v>
      </c>
      <c r="V9" s="93">
        <f t="shared" si="1"/>
        <v>0</v>
      </c>
      <c r="W9" s="95">
        <f t="shared" si="1"/>
        <v>0</v>
      </c>
      <c r="Y9" s="92">
        <f t="shared" si="8"/>
        <v>0</v>
      </c>
      <c r="Z9" s="93">
        <f t="shared" si="9"/>
        <v>0</v>
      </c>
      <c r="AA9" s="95">
        <f t="shared" si="10"/>
        <v>0</v>
      </c>
      <c r="AB9" s="189" t="str">
        <f>IFERROR(IF($E9="PW&amp;RW not required", 0, IF($O9="Non-res special",0, VLOOKUP($B9,ADWUT!$B$11:$K$998,4,FALSE)*$D9/1000)), "")</f>
        <v/>
      </c>
      <c r="AC9" s="91" cm="1">
        <f t="array" ref="AC9">IF(U9=1, _xlfn.SWITCH(V9, 0, K9, 1, K9+L9), 0)</f>
        <v>0</v>
      </c>
      <c r="AD9" s="189" t="e">
        <f t="shared" si="7"/>
        <v>#VALUE!</v>
      </c>
      <c r="AE9" s="95"/>
    </row>
    <row r="10" spans="1:32" ht="25.5" customHeight="1">
      <c r="A10" s="124"/>
      <c r="B10" s="157"/>
      <c r="C10" s="283" t="str">
        <f>IF(B10&lt;&gt;"", VLOOKUP(B10,ADWUT!$B$11:$F$997,5,FALSE),"")</f>
        <v/>
      </c>
      <c r="D10" s="124"/>
      <c r="E10" s="124"/>
      <c r="F10" s="125"/>
      <c r="G10" s="180" t="str" cm="1">
        <f t="array" ref="G10">IFERROR(_xlfn.SWITCH($O10,
"Residential",             _xlfn.SWITCH($E10,"Yes - PW&amp;RW (Std value)",VLOOKUP($B10,ADWUT!$B$11:$K$998,9,FALSE)*$D10/1000,"No - PW only (Std value)",VLOOKUP($B10,ADWUT!$B$11:$K$998,4,FALSE)*$D10/1000,"Other PW &amp; RW ratio", "Consultant entry required", "Other PW only","Consultant entry required","Not required"),
"Non-residential",    _xlfn.SWITCH($E10,"Yes - PW&amp;RW (Std value)",VLOOKUP($B10,ADWUT!$B$11:$K$998,4,FALSE)*VLOOKUP($B10,ADWUT!$B$11:$K$998,9,FALSE)*$D10/1000,"No - PW only (Std value)",VLOOKUP($B10,ADWUT!$B$11:$K$998,4,FALSE)*$D10/1000,"Other PW &amp; RW ratio", "Consultant entry required", "Other PW only","Consultant entry required","Not required"),
"Non-res special",    IF($E10="PW&amp;RW not required", "Not required","Consultant entry required")
), "")</f>
        <v/>
      </c>
      <c r="H10" s="180" t="str" cm="1">
        <f t="array" ref="H10">IFERROR(_xlfn.SWITCH($O10,
"Residential",            _xlfn.SWITCH($E10,"Yes - PW&amp;RW (Std value)",VLOOKUP($B10,ADWUT!$B$11:$K$998,10,FALSE)*$D10/1000,"Other PW &amp; RW ratio","Consultant entry required","Not required"),
"Non-residential",   _xlfn.SWITCH($E10,"Yes - PW&amp;RW (Std value)",VLOOKUP($B10,ADWUT!$B$11:$K$998,4,FALSE)*VLOOKUP($B10,ADWUT!$B$11:$K$998,10,FALSE)*$D10/1000,"Other PW &amp; RW ratio","Consultant entry required","Not required"),
"Non-res special",   IF(OR($E10="No - PW only (Std value)", $E10="Other PW only", $E10="PW&amp;RW not required"), "Not required", "Consultant entry required")),"")</f>
        <v/>
      </c>
      <c r="I10" s="180" t="str" cm="1">
        <f t="array" ref="I10">IF($F10&lt;&gt;"", _xlfn.SWITCH($F10, "Standard",
          IF(OR(ISNUMBER(SEARCH("Not", G10)), ISNUMBER(SEARCH("Consultant", G10))), "N/A", VLOOKUP($B10,ADWUT!$B$11:$I$214,8,FALSE)),
"Not required"), "")</f>
        <v/>
      </c>
      <c r="J10" s="180" t="str" cm="1">
        <f t="array" ref="J10">IFERROR(_xlfn.SWITCH($F10,
"Other",                            "Consultant entry required",
"WW not required",    "WW not required",
"Standard",                     IF(A10="Residential", _xlfn.SWITCH(LEFT(B10, 4), "Sing", D10*ADWUT!$N$11/1000, "Town", D10*ADWUT!$N$12/1000, "Mult", D10*ADWUT!$N$13/1000), IF(ISNUMBER($H10), ($G10+$H10)*$I10, $G10*$I10))
),"")</f>
        <v/>
      </c>
      <c r="K10" s="181" t="str">
        <f t="shared" si="2"/>
        <v>No entry required</v>
      </c>
      <c r="L10" s="181" t="str">
        <f t="shared" si="3"/>
        <v>No entry required</v>
      </c>
      <c r="M10" s="181" t="str">
        <f t="shared" si="4"/>
        <v>No entry required</v>
      </c>
      <c r="N10" s="153" t="str">
        <f t="shared" si="5"/>
        <v>N/A</v>
      </c>
      <c r="O10" s="102" t="str">
        <f>IFERROR(VLOOKUP($B10,ADWUT!$B$11:$H$997,7,FALSE), "")</f>
        <v/>
      </c>
      <c r="P10" s="102" t="str">
        <f t="shared" si="6"/>
        <v/>
      </c>
      <c r="Q10" s="92">
        <f t="shared" si="0"/>
        <v>0</v>
      </c>
      <c r="R10" s="93">
        <f t="shared" si="0"/>
        <v>0</v>
      </c>
      <c r="S10" s="94"/>
      <c r="T10" s="95">
        <f t="shared" si="1"/>
        <v>0</v>
      </c>
      <c r="U10" s="92">
        <f t="shared" si="1"/>
        <v>0</v>
      </c>
      <c r="V10" s="93">
        <f t="shared" si="1"/>
        <v>0</v>
      </c>
      <c r="W10" s="95">
        <f t="shared" si="1"/>
        <v>0</v>
      </c>
      <c r="Y10" s="92">
        <f t="shared" si="8"/>
        <v>0</v>
      </c>
      <c r="Z10" s="93">
        <f t="shared" si="9"/>
        <v>0</v>
      </c>
      <c r="AA10" s="95">
        <f t="shared" si="10"/>
        <v>0</v>
      </c>
      <c r="AB10" s="189" t="str">
        <f>IFERROR(IF($E10="PW&amp;RW not required", 0, IF($O10="Non-res special",0, VLOOKUP($B10,ADWUT!$B$11:$K$998,4,FALSE)*$D10/1000)), "")</f>
        <v/>
      </c>
      <c r="AC10" s="91" cm="1">
        <f t="array" ref="AC10">IF(U10=1, _xlfn.SWITCH(V10, 0, K10, 1, K10+L10), 0)</f>
        <v>0</v>
      </c>
      <c r="AD10" s="189" t="e">
        <f t="shared" si="7"/>
        <v>#VALUE!</v>
      </c>
      <c r="AE10" s="95"/>
    </row>
    <row r="11" spans="1:32" ht="25.5" customHeight="1">
      <c r="A11" s="124"/>
      <c r="B11" s="157"/>
      <c r="C11" s="283" t="str">
        <f>IF(B11&lt;&gt;"", VLOOKUP(B11,ADWUT!$B$11:$F$997,5,FALSE),"")</f>
        <v/>
      </c>
      <c r="D11" s="124"/>
      <c r="E11" s="124"/>
      <c r="F11" s="125"/>
      <c r="G11" s="180" t="str" cm="1">
        <f t="array" ref="G11">IFERROR(_xlfn.SWITCH($O11,
"Residential",             _xlfn.SWITCH($E11,"Yes - PW&amp;RW (Std value)",VLOOKUP($B11,ADWUT!$B$11:$K$998,9,FALSE)*$D11/1000,"No - PW only (Std value)",VLOOKUP($B11,ADWUT!$B$11:$K$998,4,FALSE)*$D11/1000,"Other PW &amp; RW ratio", "Consultant entry required", "Other PW only","Consultant entry required","Not required"),
"Non-residential",    _xlfn.SWITCH($E11,"Yes - PW&amp;RW (Std value)",VLOOKUP($B11,ADWUT!$B$11:$K$998,4,FALSE)*VLOOKUP($B11,ADWUT!$B$11:$K$998,9,FALSE)*$D11/1000,"No - PW only (Std value)",VLOOKUP($B11,ADWUT!$B$11:$K$998,4,FALSE)*$D11/1000,"Other PW &amp; RW ratio", "Consultant entry required", "Other PW only","Consultant entry required","Not required"),
"Non-res special",    IF($E11="PW&amp;RW not required", "Not required","Consultant entry required")
), "")</f>
        <v/>
      </c>
      <c r="H11" s="180" t="str" cm="1">
        <f t="array" ref="H11">IFERROR(_xlfn.SWITCH($O11,
"Residential",            _xlfn.SWITCH($E11,"Yes - PW&amp;RW (Std value)",VLOOKUP($B11,ADWUT!$B$11:$K$998,10,FALSE)*$D11/1000,"Other PW &amp; RW ratio","Consultant entry required","Not required"),
"Non-residential",   _xlfn.SWITCH($E11,"Yes - PW&amp;RW (Std value)",VLOOKUP($B11,ADWUT!$B$11:$K$998,4,FALSE)*VLOOKUP($B11,ADWUT!$B$11:$K$998,10,FALSE)*$D11/1000,"Other PW &amp; RW ratio","Consultant entry required","Not required"),
"Non-res special",   IF(OR($E11="No - PW only (Std value)", $E11="Other PW only", $E11="PW&amp;RW not required"), "Not required", "Consultant entry required")),"")</f>
        <v/>
      </c>
      <c r="I11" s="180" t="str" cm="1">
        <f t="array" ref="I11">IF($F11&lt;&gt;"", _xlfn.SWITCH($F11, "Standard",
          IF(OR(ISNUMBER(SEARCH("Not", G11)), ISNUMBER(SEARCH("Consultant", G11))), "N/A", VLOOKUP($B11,ADWUT!$B$11:$I$214,8,FALSE)),
"Not required"), "")</f>
        <v/>
      </c>
      <c r="J11" s="180" t="str" cm="1">
        <f t="array" ref="J11">IFERROR(_xlfn.SWITCH($F11,
"Other",                            "Consultant entry required",
"WW not required",    "WW not required",
"Standard",                     IF(A11="Residential", _xlfn.SWITCH(LEFT(B11, 4), "Sing", D11*ADWUT!$N$11/1000, "Town", D11*ADWUT!$N$12/1000, "Mult", D11*ADWUT!$N$13/1000), IF(ISNUMBER($H11), ($G11+$H11)*$I11, $G11*$I11))
),"")</f>
        <v/>
      </c>
      <c r="K11" s="181" t="str">
        <f t="shared" si="2"/>
        <v>No entry required</v>
      </c>
      <c r="L11" s="181" t="str">
        <f t="shared" si="3"/>
        <v>No entry required</v>
      </c>
      <c r="M11" s="181" t="str">
        <f t="shared" si="4"/>
        <v>No entry required</v>
      </c>
      <c r="N11" s="153" t="str">
        <f t="shared" si="5"/>
        <v>N/A</v>
      </c>
      <c r="O11" s="102" t="str">
        <f>IFERROR(VLOOKUP($B11,ADWUT!$B$11:$H$997,7,FALSE), "")</f>
        <v/>
      </c>
      <c r="P11" s="102" t="str">
        <f t="shared" ref="P11:P12" si="11">LEFT(O11,7)</f>
        <v/>
      </c>
      <c r="Q11" s="92">
        <f t="shared" ref="Q11:Q12" si="12">IF(ISNUMBER(G11), 1, 0)</f>
        <v>0</v>
      </c>
      <c r="R11" s="93">
        <f t="shared" ref="R11:R12" si="13">IF(ISNUMBER(H11), 1, 0)</f>
        <v>0</v>
      </c>
      <c r="S11" s="94"/>
      <c r="T11" s="95">
        <f t="shared" ref="T11:T12" si="14">IF(ISNUMBER(J11), 1, 0)</f>
        <v>0</v>
      </c>
      <c r="U11" s="92">
        <f t="shared" ref="U11:U12" si="15">IF(ISNUMBER(K11), 1, 0)</f>
        <v>0</v>
      </c>
      <c r="V11" s="93">
        <f t="shared" ref="V11:V12" si="16">IF(ISNUMBER(L11), 1, 0)</f>
        <v>0</v>
      </c>
      <c r="W11" s="95">
        <f t="shared" ref="W11:W12" si="17">IF(ISNUMBER(M11), 1, 0)</f>
        <v>0</v>
      </c>
      <c r="Y11" s="92">
        <f t="shared" ref="Y11:Y12" si="18">IF(AND(Q11=1, U11=1), 1, 0)</f>
        <v>0</v>
      </c>
      <c r="Z11" s="93">
        <f t="shared" ref="Z11:Z12" si="19">IF(AND(R11=1, V11=1), 1, 0)</f>
        <v>0</v>
      </c>
      <c r="AA11" s="95">
        <f t="shared" ref="AA11:AA12" si="20">IF(AND(T11=1, W11=1), 1, 0)</f>
        <v>0</v>
      </c>
      <c r="AB11" s="189" t="str">
        <f>IFERROR(IF($E11="PW&amp;RW not required", 0, IF($O11="Non-res special",0, VLOOKUP($B11,ADWUT!$B$11:$K$998,4,FALSE)*$D11/1000)), "")</f>
        <v/>
      </c>
      <c r="AC11" s="91" cm="1">
        <f t="array" ref="AC11">IF(U11=1, _xlfn.SWITCH(V11, 0, K11, 1, K11+L11), 0)</f>
        <v>0</v>
      </c>
      <c r="AD11" s="189" t="e">
        <f t="shared" si="7"/>
        <v>#VALUE!</v>
      </c>
      <c r="AE11" s="95"/>
    </row>
    <row r="12" spans="1:32" ht="25.5" customHeight="1">
      <c r="A12" s="124"/>
      <c r="B12" s="157"/>
      <c r="C12" s="283" t="str">
        <f>IF(B12&lt;&gt;"", VLOOKUP(B12,ADWUT!$B$11:$F$997,5,FALSE),"")</f>
        <v/>
      </c>
      <c r="D12" s="124"/>
      <c r="E12" s="124"/>
      <c r="F12" s="125"/>
      <c r="G12" s="180" t="str" cm="1">
        <f t="array" ref="G12">IFERROR(_xlfn.SWITCH($O12,
"Residential",             _xlfn.SWITCH($E12,"Yes - PW&amp;RW (Std value)",VLOOKUP($B12,ADWUT!$B$11:$K$998,9,FALSE)*$D12/1000,"No - PW only (Std value)",VLOOKUP($B12,ADWUT!$B$11:$K$998,4,FALSE)*$D12/1000,"Other PW &amp; RW ratio", "Consultant entry required", "Other PW only","Consultant entry required","Not required"),
"Non-residential",    _xlfn.SWITCH($E12,"Yes - PW&amp;RW (Std value)",VLOOKUP($B12,ADWUT!$B$11:$K$998,4,FALSE)*VLOOKUP($B12,ADWUT!$B$11:$K$998,9,FALSE)*$D12/1000,"No - PW only (Std value)",VLOOKUP($B12,ADWUT!$B$11:$K$998,4,FALSE)*$D12/1000,"Other PW &amp; RW ratio", "Consultant entry required", "Other PW only","Consultant entry required","Not required"),
"Non-res special",    IF($E12="PW&amp;RW not required", "Not required","Consultant entry required")
), "")</f>
        <v/>
      </c>
      <c r="H12" s="180" t="str" cm="1">
        <f t="array" ref="H12">IFERROR(_xlfn.SWITCH($O12,
"Residential",            _xlfn.SWITCH($E12,"Yes - PW&amp;RW (Std value)",VLOOKUP($B12,ADWUT!$B$11:$K$998,10,FALSE)*$D12/1000,"Other PW &amp; RW ratio","Consultant entry required","Not required"),
"Non-residential",   _xlfn.SWITCH($E12,"Yes - PW&amp;RW (Std value)",VLOOKUP($B12,ADWUT!$B$11:$K$998,4,FALSE)*VLOOKUP($B12,ADWUT!$B$11:$K$998,10,FALSE)*$D12/1000,"Other PW &amp; RW ratio","Consultant entry required","Not required"),
"Non-res special",   IF(OR($E12="No - PW only (Std value)", $E12="Other PW only", $E12="PW&amp;RW not required"), "Not required", "Consultant entry required")),"")</f>
        <v/>
      </c>
      <c r="I12" s="180" t="str" cm="1">
        <f t="array" ref="I12">IF($F12&lt;&gt;"", _xlfn.SWITCH($F12, "Standard",
          IF(OR(ISNUMBER(SEARCH("Not", G12)), ISNUMBER(SEARCH("Consultant", G12))), "N/A", VLOOKUP($B12,ADWUT!$B$11:$I$214,8,FALSE)),
"Not required"), "")</f>
        <v/>
      </c>
      <c r="J12" s="180" t="str" cm="1">
        <f t="array" ref="J12">IFERROR(_xlfn.SWITCH($F12,
"Other",                            "Consultant entry required",
"WW not required",    "WW not required",
"Standard",                     IF(A12="Residential", _xlfn.SWITCH(LEFT(B12, 4), "Sing", D12*ADWUT!$N$11/1000, "Town", D12*ADWUT!$N$12/1000, "Mult", D12*ADWUT!$N$13/1000), IF(ISNUMBER($H12), ($G12+$H12)*$I12, $G12*$I12))
),"")</f>
        <v/>
      </c>
      <c r="K12" s="181" t="str">
        <f t="shared" si="2"/>
        <v>No entry required</v>
      </c>
      <c r="L12" s="181" t="str">
        <f t="shared" si="3"/>
        <v>No entry required</v>
      </c>
      <c r="M12" s="181" t="str">
        <f t="shared" si="4"/>
        <v>No entry required</v>
      </c>
      <c r="N12" s="153" t="str">
        <f t="shared" si="5"/>
        <v>N/A</v>
      </c>
      <c r="O12" s="102" t="str">
        <f>IFERROR(VLOOKUP($B12,ADWUT!$B$11:$H$997,7,FALSE), "")</f>
        <v/>
      </c>
      <c r="P12" s="102" t="str">
        <f t="shared" si="11"/>
        <v/>
      </c>
      <c r="Q12" s="96">
        <f t="shared" si="12"/>
        <v>0</v>
      </c>
      <c r="R12" s="86">
        <f t="shared" si="13"/>
        <v>0</v>
      </c>
      <c r="S12" s="87"/>
      <c r="T12" s="97">
        <f t="shared" si="14"/>
        <v>0</v>
      </c>
      <c r="U12" s="96">
        <f t="shared" si="15"/>
        <v>0</v>
      </c>
      <c r="V12" s="86">
        <f t="shared" si="16"/>
        <v>0</v>
      </c>
      <c r="W12" s="97">
        <f t="shared" si="17"/>
        <v>0</v>
      </c>
      <c r="X12" s="169"/>
      <c r="Y12" s="96">
        <f t="shared" si="18"/>
        <v>0</v>
      </c>
      <c r="Z12" s="86">
        <f t="shared" si="19"/>
        <v>0</v>
      </c>
      <c r="AA12" s="97">
        <f t="shared" si="20"/>
        <v>0</v>
      </c>
      <c r="AB12" s="372" t="str">
        <f>IFERROR(IF($E12="PW&amp;RW not required", 0, IF($O12="Non-res special",0, VLOOKUP($B12,ADWUT!$B$11:$K$998,4,FALSE)*$D12/1000)), "")</f>
        <v/>
      </c>
      <c r="AC12" s="101" cm="1">
        <f t="array" ref="AC12">IF(U12=1, _xlfn.SWITCH(V12, 0, K12, 1, K12+L12), 0)</f>
        <v>0</v>
      </c>
      <c r="AD12" s="189" t="e">
        <f t="shared" si="7"/>
        <v>#VALUE!</v>
      </c>
      <c r="AE12" s="171"/>
    </row>
    <row r="13" spans="1:32" ht="6.75" customHeight="1">
      <c r="A13" s="192"/>
      <c r="B13" s="193"/>
      <c r="C13" s="194"/>
      <c r="D13" s="193"/>
      <c r="E13" s="193"/>
      <c r="F13" s="195"/>
      <c r="G13" s="196"/>
      <c r="H13" s="196"/>
      <c r="I13" s="197"/>
      <c r="J13" s="196"/>
      <c r="K13" s="198"/>
      <c r="L13" s="198"/>
      <c r="M13" s="198"/>
      <c r="N13" s="198"/>
      <c r="O13" s="199"/>
      <c r="P13" s="199"/>
      <c r="Q13" s="93"/>
      <c r="R13" s="93"/>
      <c r="S13" s="93"/>
      <c r="T13" s="93"/>
      <c r="U13" s="93"/>
      <c r="V13" s="93"/>
      <c r="W13" s="93"/>
      <c r="Y13" s="93"/>
      <c r="Z13" s="93"/>
      <c r="AA13" s="93"/>
      <c r="AB13" s="200"/>
      <c r="AC13" s="93"/>
      <c r="AD13" s="93"/>
      <c r="AE13" s="93"/>
    </row>
    <row r="14" spans="1:32" ht="6" customHeight="1">
      <c r="A14" s="416"/>
      <c r="B14" s="417"/>
      <c r="C14" s="201"/>
      <c r="D14" s="8"/>
      <c r="E14" s="8"/>
      <c r="F14" s="202"/>
      <c r="G14" s="203"/>
      <c r="H14" s="203"/>
      <c r="I14" s="204"/>
      <c r="J14" s="203"/>
      <c r="K14" s="205"/>
      <c r="L14" s="205"/>
      <c r="M14" s="205"/>
      <c r="N14" s="205"/>
      <c r="O14" s="206"/>
      <c r="P14" s="206"/>
      <c r="Q14" s="93"/>
      <c r="R14" s="93"/>
      <c r="S14" s="93"/>
      <c r="T14" s="93"/>
      <c r="U14" s="93"/>
      <c r="V14" s="93"/>
      <c r="W14" s="93"/>
      <c r="Y14" s="93"/>
      <c r="Z14" s="93"/>
      <c r="AA14" s="93"/>
      <c r="AB14" s="200"/>
      <c r="AC14" s="93"/>
      <c r="AD14" s="93"/>
      <c r="AE14" s="93"/>
    </row>
    <row r="15" spans="1:32" ht="24.75" customHeight="1">
      <c r="A15" s="418" t="s">
        <v>331</v>
      </c>
      <c r="B15" s="419"/>
      <c r="C15" s="419"/>
      <c r="D15" s="419"/>
      <c r="E15" s="419"/>
      <c r="F15" s="419"/>
      <c r="G15" s="419"/>
      <c r="H15" s="419"/>
      <c r="I15" s="419"/>
      <c r="J15" s="419"/>
      <c r="K15" s="419"/>
      <c r="L15" s="419"/>
      <c r="M15" s="419"/>
      <c r="N15" s="419"/>
      <c r="O15" s="207" t="str">
        <f>IFERROR(VLOOKUP($B15,ADWUT!$B$11:$H$997,7,FALSE), "")</f>
        <v/>
      </c>
      <c r="P15" s="207" t="str">
        <f t="shared" si="6"/>
        <v/>
      </c>
      <c r="Q15" s="93"/>
      <c r="R15" s="93"/>
      <c r="S15" s="93"/>
      <c r="T15" s="93"/>
      <c r="U15" s="93"/>
      <c r="V15" s="93"/>
      <c r="W15" s="93"/>
      <c r="Y15" s="93"/>
      <c r="Z15" s="93"/>
      <c r="AA15" s="93"/>
      <c r="AB15" s="200" t="str">
        <f>IFERROR(IF($E15="PW&amp;RW not required", 0, IF($O15="Non-res special",0, VLOOKUP($B15,ADWUT!$B$11:$K$998,4,FALSE)*$D15)), "")</f>
        <v/>
      </c>
      <c r="AC15" s="93"/>
      <c r="AD15" s="94"/>
      <c r="AE15" s="93"/>
    </row>
    <row r="16" spans="1:32" ht="28.5" customHeight="1">
      <c r="A16" s="212" t="s">
        <v>209</v>
      </c>
      <c r="B16" s="143" t="s">
        <v>201</v>
      </c>
      <c r="C16" s="143" t="s">
        <v>296</v>
      </c>
      <c r="D16" s="143" t="s">
        <v>296</v>
      </c>
      <c r="E16" s="212" t="s">
        <v>209</v>
      </c>
      <c r="F16" s="143" t="s">
        <v>201</v>
      </c>
      <c r="G16" s="208"/>
      <c r="H16" s="209"/>
      <c r="I16" s="210"/>
      <c r="J16" s="210"/>
      <c r="K16" s="110" t="s">
        <v>217</v>
      </c>
      <c r="L16" s="107" t="s">
        <v>273</v>
      </c>
      <c r="M16" s="105" t="s">
        <v>274</v>
      </c>
      <c r="N16" s="210"/>
      <c r="O16" s="207"/>
      <c r="P16" s="207"/>
      <c r="Q16" s="93"/>
      <c r="R16" s="93"/>
      <c r="S16" s="93"/>
      <c r="T16" s="93"/>
      <c r="U16" s="93"/>
      <c r="V16" s="93"/>
      <c r="W16" s="93"/>
      <c r="Y16" s="93"/>
      <c r="Z16" s="93"/>
      <c r="AA16" s="93"/>
      <c r="AB16" s="200"/>
      <c r="AC16" s="93"/>
      <c r="AD16" s="94"/>
      <c r="AE16" s="93"/>
    </row>
    <row r="17" spans="1:31" ht="39" customHeight="1">
      <c r="A17" s="38" t="s">
        <v>4</v>
      </c>
      <c r="B17" s="40" t="s">
        <v>208</v>
      </c>
      <c r="C17" s="40" t="s">
        <v>298</v>
      </c>
      <c r="D17" s="40" t="s">
        <v>271</v>
      </c>
      <c r="E17" s="132" t="s">
        <v>175</v>
      </c>
      <c r="F17" s="144" t="s">
        <v>252</v>
      </c>
      <c r="G17" s="413" t="s">
        <v>188</v>
      </c>
      <c r="H17" s="414"/>
      <c r="I17" s="414"/>
      <c r="J17" s="415"/>
      <c r="K17" s="134" t="s">
        <v>197</v>
      </c>
      <c r="L17" s="132" t="s">
        <v>198</v>
      </c>
      <c r="M17" s="144" t="s">
        <v>200</v>
      </c>
      <c r="N17" s="40" t="s">
        <v>188</v>
      </c>
      <c r="O17" s="211" t="str">
        <f>IFERROR(VLOOKUP($B17,ADWUT!$B$11:$H$997,7,FALSE), "")</f>
        <v/>
      </c>
      <c r="P17" s="211" t="str">
        <f t="shared" si="6"/>
        <v/>
      </c>
      <c r="Q17" s="93"/>
      <c r="R17" s="93"/>
      <c r="S17" s="93"/>
      <c r="T17" s="93"/>
      <c r="U17" s="93"/>
      <c r="V17" s="93"/>
      <c r="W17" s="93"/>
      <c r="Y17" s="93"/>
      <c r="Z17" s="93"/>
      <c r="AA17" s="93"/>
      <c r="AB17" s="200" t="str">
        <f>IFERROR(IF($E17="PW&amp;RW not required", 0, IF($O17="Non-res special",0, VLOOKUP($B17,ADWUT!$B$11:$K$998,4,FALSE)*$D17)), "")</f>
        <v/>
      </c>
      <c r="AC17" s="93"/>
      <c r="AD17" s="94"/>
      <c r="AE17" s="93"/>
    </row>
    <row r="18" spans="1:31" ht="25.5" customHeight="1">
      <c r="A18" s="156"/>
      <c r="B18" s="156"/>
      <c r="C18" s="264"/>
      <c r="D18" s="155"/>
      <c r="E18" s="124"/>
      <c r="F18" s="266"/>
      <c r="G18" s="158"/>
      <c r="H18" s="158"/>
      <c r="I18" s="159"/>
      <c r="J18" s="158"/>
      <c r="K18" s="181" t="str">
        <f t="shared" ref="K18:K21" si="21">IF($A18="", "", IF(OR($E18="PW only", $E18="PW &amp; RW"), "Enter value here...", "No entry required"))</f>
        <v/>
      </c>
      <c r="L18" s="181" t="str">
        <f t="shared" ref="L18:L21" si="22">IF($A18="", "", IF($E18="PW &amp; RW", "Enter value here...", "No entry required"))</f>
        <v/>
      </c>
      <c r="M18" s="362" t="str">
        <f>IF($A18="","",IFERROR(IF(OR($E18="PW only",$E18="PW &amp; RW"),F18*K18,"No entry required"),"Enter value in Col K of this row"))</f>
        <v/>
      </c>
      <c r="N18" s="161"/>
      <c r="O18" s="102"/>
      <c r="P18" s="102"/>
      <c r="Q18" s="88">
        <f t="shared" ref="Q18:R21" si="23">IF(ISNUMBER(G18), 1, 0)</f>
        <v>0</v>
      </c>
      <c r="R18" s="89">
        <f t="shared" si="23"/>
        <v>0</v>
      </c>
      <c r="S18" s="90"/>
      <c r="T18" s="91">
        <f t="shared" ref="T18:W21" si="24">IF(ISNUMBER(J18), 1, 0)</f>
        <v>0</v>
      </c>
      <c r="U18" s="88">
        <f t="shared" si="24"/>
        <v>0</v>
      </c>
      <c r="V18" s="89">
        <f t="shared" si="24"/>
        <v>0</v>
      </c>
      <c r="W18" s="91">
        <f t="shared" si="24"/>
        <v>0</v>
      </c>
      <c r="X18" s="170"/>
      <c r="Y18" s="88">
        <f t="shared" si="8"/>
        <v>0</v>
      </c>
      <c r="Z18" s="89">
        <f t="shared" si="9"/>
        <v>0</v>
      </c>
      <c r="AA18" s="91">
        <f t="shared" si="10"/>
        <v>0</v>
      </c>
      <c r="AB18" s="149"/>
      <c r="AC18" s="91"/>
      <c r="AD18" s="91"/>
      <c r="AE18" s="91"/>
    </row>
    <row r="19" spans="1:31" ht="25.5" customHeight="1">
      <c r="A19" s="156"/>
      <c r="B19" s="157"/>
      <c r="C19" s="265"/>
      <c r="D19" s="124"/>
      <c r="E19" s="124"/>
      <c r="F19" s="266"/>
      <c r="G19" s="158"/>
      <c r="H19" s="158"/>
      <c r="I19" s="159"/>
      <c r="J19" s="158"/>
      <c r="K19" s="181" t="str">
        <f t="shared" si="21"/>
        <v/>
      </c>
      <c r="L19" s="181" t="str">
        <f t="shared" si="22"/>
        <v/>
      </c>
      <c r="M19" s="362" t="str">
        <f t="shared" ref="M19:M21" si="25">IF($A19="", "", IF(OR($E19="PW only", $E19="PW &amp; RW"), F19*K19, "No entry required"))</f>
        <v/>
      </c>
      <c r="N19" s="161"/>
      <c r="O19" s="102"/>
      <c r="P19" s="102"/>
      <c r="Q19" s="92">
        <f t="shared" si="23"/>
        <v>0</v>
      </c>
      <c r="R19" s="93">
        <f t="shared" si="23"/>
        <v>0</v>
      </c>
      <c r="S19" s="94"/>
      <c r="T19" s="95">
        <f t="shared" si="24"/>
        <v>0</v>
      </c>
      <c r="U19" s="92">
        <f t="shared" si="24"/>
        <v>0</v>
      </c>
      <c r="V19" s="93">
        <f t="shared" si="24"/>
        <v>0</v>
      </c>
      <c r="W19" s="95">
        <f t="shared" si="24"/>
        <v>0</v>
      </c>
      <c r="Y19" s="92">
        <f t="shared" si="8"/>
        <v>0</v>
      </c>
      <c r="Z19" s="93">
        <f t="shared" si="9"/>
        <v>0</v>
      </c>
      <c r="AA19" s="95">
        <f t="shared" si="10"/>
        <v>0</v>
      </c>
      <c r="AB19" s="150"/>
      <c r="AC19" s="91"/>
      <c r="AD19" s="91"/>
      <c r="AE19" s="95"/>
    </row>
    <row r="20" spans="1:31" ht="25.5" customHeight="1">
      <c r="A20" s="156"/>
      <c r="B20" s="157"/>
      <c r="C20" s="265"/>
      <c r="D20" s="124"/>
      <c r="E20" s="124"/>
      <c r="F20" s="266"/>
      <c r="G20" s="158"/>
      <c r="H20" s="158"/>
      <c r="I20" s="159"/>
      <c r="J20" s="158"/>
      <c r="K20" s="181" t="str">
        <f t="shared" si="21"/>
        <v/>
      </c>
      <c r="L20" s="181" t="str">
        <f t="shared" si="22"/>
        <v/>
      </c>
      <c r="M20" s="362" t="str">
        <f t="shared" si="25"/>
        <v/>
      </c>
      <c r="N20" s="161"/>
      <c r="O20" s="102"/>
      <c r="P20" s="102"/>
      <c r="Q20" s="92">
        <f t="shared" si="23"/>
        <v>0</v>
      </c>
      <c r="R20" s="93">
        <f t="shared" si="23"/>
        <v>0</v>
      </c>
      <c r="S20" s="94"/>
      <c r="T20" s="95">
        <f t="shared" si="24"/>
        <v>0</v>
      </c>
      <c r="U20" s="92">
        <f t="shared" si="24"/>
        <v>0</v>
      </c>
      <c r="V20" s="93">
        <f t="shared" si="24"/>
        <v>0</v>
      </c>
      <c r="W20" s="95">
        <f t="shared" si="24"/>
        <v>0</v>
      </c>
      <c r="Y20" s="92">
        <f t="shared" si="8"/>
        <v>0</v>
      </c>
      <c r="Z20" s="93">
        <f t="shared" si="9"/>
        <v>0</v>
      </c>
      <c r="AA20" s="95">
        <f t="shared" si="10"/>
        <v>0</v>
      </c>
      <c r="AB20" s="150"/>
      <c r="AC20" s="91"/>
      <c r="AD20" s="91"/>
      <c r="AE20" s="95"/>
    </row>
    <row r="21" spans="1:31" ht="25.5" customHeight="1">
      <c r="A21" s="156"/>
      <c r="B21" s="157"/>
      <c r="C21" s="265"/>
      <c r="D21" s="124"/>
      <c r="E21" s="124"/>
      <c r="F21" s="266"/>
      <c r="G21" s="158"/>
      <c r="H21" s="158"/>
      <c r="I21" s="159"/>
      <c r="J21" s="158"/>
      <c r="K21" s="181" t="str">
        <f t="shared" si="21"/>
        <v/>
      </c>
      <c r="L21" s="181" t="str">
        <f t="shared" si="22"/>
        <v/>
      </c>
      <c r="M21" s="362" t="str">
        <f t="shared" si="25"/>
        <v/>
      </c>
      <c r="N21" s="161"/>
      <c r="O21" s="102"/>
      <c r="P21" s="102"/>
      <c r="Q21" s="96">
        <f t="shared" si="23"/>
        <v>0</v>
      </c>
      <c r="R21" s="86">
        <f t="shared" si="23"/>
        <v>0</v>
      </c>
      <c r="S21" s="87"/>
      <c r="T21" s="97">
        <f t="shared" si="24"/>
        <v>0</v>
      </c>
      <c r="U21" s="96">
        <f t="shared" si="24"/>
        <v>0</v>
      </c>
      <c r="V21" s="86">
        <f t="shared" si="24"/>
        <v>0</v>
      </c>
      <c r="W21" s="97">
        <f t="shared" si="24"/>
        <v>0</v>
      </c>
      <c r="Y21" s="96">
        <f t="shared" si="8"/>
        <v>0</v>
      </c>
      <c r="Z21" s="86">
        <f t="shared" si="9"/>
        <v>0</v>
      </c>
      <c r="AA21" s="97">
        <f t="shared" si="10"/>
        <v>0</v>
      </c>
      <c r="AB21" s="151"/>
      <c r="AC21" s="91"/>
      <c r="AD21" s="91"/>
      <c r="AE21" s="97"/>
    </row>
    <row r="22" spans="1:31" hidden="1">
      <c r="J22" s="61" t="s">
        <v>99</v>
      </c>
      <c r="K22" s="62">
        <f>COUNT(K5:K21)</f>
        <v>0</v>
      </c>
      <c r="L22" s="62">
        <f t="shared" ref="L22:M22" si="26">COUNT(L5:L21)</f>
        <v>0</v>
      </c>
      <c r="M22" s="62">
        <f t="shared" si="26"/>
        <v>0</v>
      </c>
      <c r="N22" s="62"/>
      <c r="O22" s="62">
        <f>MAX(K22:M22)</f>
        <v>0</v>
      </c>
      <c r="P22" s="114" t="s">
        <v>169</v>
      </c>
      <c r="Q22" s="98">
        <f>SUM(Q5:Q21)</f>
        <v>0</v>
      </c>
      <c r="R22" s="99">
        <f t="shared" ref="R22:W22" si="27">SUM(R5:R21)</f>
        <v>0</v>
      </c>
      <c r="S22" s="100"/>
      <c r="T22" s="101">
        <f t="shared" si="27"/>
        <v>0</v>
      </c>
      <c r="U22" s="98">
        <f t="shared" si="27"/>
        <v>0</v>
      </c>
      <c r="V22" s="99">
        <f t="shared" si="27"/>
        <v>0</v>
      </c>
      <c r="W22" s="101">
        <f t="shared" si="27"/>
        <v>0</v>
      </c>
      <c r="Y22" s="98">
        <f t="shared" ref="Y22" si="28">SUM(Y5:Y21)</f>
        <v>0</v>
      </c>
      <c r="Z22" s="99">
        <f t="shared" ref="Z22" si="29">SUM(Z5:Z21)</f>
        <v>0</v>
      </c>
      <c r="AA22" s="101">
        <f t="shared" ref="AA22" si="30">SUM(AA5:AA21)</f>
        <v>0</v>
      </c>
      <c r="AB22" s="371">
        <f>SUMIF($P$5:$P$12,"Non-res", $AB$5:$AB$12)</f>
        <v>0</v>
      </c>
      <c r="AC22" s="101"/>
      <c r="AD22" s="101"/>
      <c r="AE22" s="101"/>
    </row>
    <row r="23" spans="1:31" hidden="1">
      <c r="J23" s="61" t="s">
        <v>128</v>
      </c>
      <c r="K23" s="55">
        <f>COUNTIFS(K5:K21, "Enter value here...")</f>
        <v>0</v>
      </c>
      <c r="L23" s="55">
        <f t="shared" ref="L23:M23" si="31">COUNTIFS(L5:L21, "Enter value here...")</f>
        <v>0</v>
      </c>
      <c r="M23" s="55">
        <f t="shared" si="31"/>
        <v>0</v>
      </c>
      <c r="N23" s="55"/>
    </row>
    <row r="26" spans="1:31" hidden="1"/>
    <row r="27" spans="1:31" hidden="1"/>
    <row r="28" spans="1:31" hidden="1"/>
    <row r="29" spans="1:31" hidden="1"/>
    <row r="30" spans="1:31" hidden="1"/>
    <row r="32" spans="1:31" ht="15.75">
      <c r="A32" s="361" t="s">
        <v>309</v>
      </c>
    </row>
    <row r="34" spans="1:4">
      <c r="A34" s="46" t="s">
        <v>4</v>
      </c>
      <c r="B34" s="46" t="s">
        <v>5</v>
      </c>
      <c r="C34" s="47" t="s">
        <v>6</v>
      </c>
      <c r="D34" s="47" t="s">
        <v>7</v>
      </c>
    </row>
    <row r="35" spans="1:4">
      <c r="A35" s="364" t="s">
        <v>3</v>
      </c>
      <c r="B35" s="364" t="s">
        <v>74</v>
      </c>
      <c r="C35" s="364" t="s">
        <v>10</v>
      </c>
      <c r="D35" s="364" t="s">
        <v>299</v>
      </c>
    </row>
    <row r="36" spans="1:4">
      <c r="A36" s="364" t="s">
        <v>3</v>
      </c>
      <c r="B36" s="365" t="s">
        <v>75</v>
      </c>
      <c r="C36" s="364" t="s">
        <v>10</v>
      </c>
      <c r="D36" s="364" t="s">
        <v>299</v>
      </c>
    </row>
    <row r="37" spans="1:4">
      <c r="A37" s="364" t="s">
        <v>3</v>
      </c>
      <c r="B37" s="364" t="s">
        <v>76</v>
      </c>
      <c r="C37" s="364" t="s">
        <v>10</v>
      </c>
      <c r="D37" s="364" t="s">
        <v>299</v>
      </c>
    </row>
    <row r="38" spans="1:4">
      <c r="A38" s="364" t="s">
        <v>3</v>
      </c>
      <c r="B38" s="364" t="s">
        <v>77</v>
      </c>
      <c r="C38" s="364" t="s">
        <v>10</v>
      </c>
      <c r="D38" s="364" t="s">
        <v>299</v>
      </c>
    </row>
    <row r="39" spans="1:4">
      <c r="A39" s="364" t="s">
        <v>3</v>
      </c>
      <c r="B39" s="364" t="s">
        <v>78</v>
      </c>
      <c r="C39" s="364" t="s">
        <v>10</v>
      </c>
      <c r="D39" s="364" t="s">
        <v>299</v>
      </c>
    </row>
    <row r="40" spans="1:4">
      <c r="A40" s="364" t="s">
        <v>3</v>
      </c>
      <c r="B40" s="364" t="s">
        <v>79</v>
      </c>
      <c r="C40" s="364" t="s">
        <v>10</v>
      </c>
      <c r="D40" s="364" t="s">
        <v>299</v>
      </c>
    </row>
    <row r="41" spans="1:4">
      <c r="A41" s="50" t="s">
        <v>11</v>
      </c>
      <c r="B41" s="50" t="s">
        <v>276</v>
      </c>
      <c r="C41" s="50" t="s">
        <v>291</v>
      </c>
      <c r="D41" s="50" t="s">
        <v>268</v>
      </c>
    </row>
    <row r="42" spans="1:4">
      <c r="A42" s="50" t="s">
        <v>11</v>
      </c>
      <c r="B42" s="50" t="s">
        <v>277</v>
      </c>
      <c r="C42" s="50" t="s">
        <v>322</v>
      </c>
      <c r="D42" s="50" t="s">
        <v>290</v>
      </c>
    </row>
    <row r="43" spans="1:4">
      <c r="A43" s="50" t="s">
        <v>11</v>
      </c>
      <c r="B43" s="50" t="s">
        <v>13</v>
      </c>
      <c r="C43" s="50" t="s">
        <v>322</v>
      </c>
      <c r="D43" s="50" t="s">
        <v>290</v>
      </c>
    </row>
    <row r="44" spans="1:4">
      <c r="A44" s="50" t="s">
        <v>11</v>
      </c>
      <c r="B44" s="53" t="s">
        <v>278</v>
      </c>
      <c r="C44" s="50" t="s">
        <v>292</v>
      </c>
      <c r="D44" s="50" t="s">
        <v>269</v>
      </c>
    </row>
    <row r="45" spans="1:4">
      <c r="A45" s="50" t="s">
        <v>11</v>
      </c>
      <c r="B45" s="53" t="s">
        <v>14</v>
      </c>
      <c r="C45" s="50" t="s">
        <v>322</v>
      </c>
      <c r="D45" s="50" t="s">
        <v>290</v>
      </c>
    </row>
    <row r="46" spans="1:4">
      <c r="A46" s="50" t="s">
        <v>11</v>
      </c>
      <c r="B46" s="53" t="s">
        <v>15</v>
      </c>
      <c r="C46" s="50" t="s">
        <v>322</v>
      </c>
      <c r="D46" s="50" t="s">
        <v>290</v>
      </c>
    </row>
    <row r="47" spans="1:4">
      <c r="A47" s="59" t="s">
        <v>11</v>
      </c>
      <c r="B47" s="59" t="s">
        <v>279</v>
      </c>
      <c r="C47" s="408" t="s">
        <v>288</v>
      </c>
      <c r="D47" s="409"/>
    </row>
    <row r="48" spans="1:4">
      <c r="A48" s="50" t="s">
        <v>11</v>
      </c>
      <c r="B48" s="53" t="s">
        <v>280</v>
      </c>
      <c r="C48" s="50" t="s">
        <v>322</v>
      </c>
      <c r="D48" s="50" t="s">
        <v>290</v>
      </c>
    </row>
    <row r="49" spans="1:4">
      <c r="A49" s="50" t="s">
        <v>11</v>
      </c>
      <c r="B49" s="50" t="s">
        <v>16</v>
      </c>
      <c r="C49" s="50" t="s">
        <v>322</v>
      </c>
      <c r="D49" s="50" t="s">
        <v>290</v>
      </c>
    </row>
    <row r="50" spans="1:4">
      <c r="A50" s="50" t="s">
        <v>11</v>
      </c>
      <c r="B50" s="50" t="s">
        <v>281</v>
      </c>
      <c r="C50" s="50" t="s">
        <v>322</v>
      </c>
      <c r="D50" s="50" t="s">
        <v>290</v>
      </c>
    </row>
    <row r="51" spans="1:4">
      <c r="A51" s="50" t="s">
        <v>11</v>
      </c>
      <c r="B51" s="50" t="s">
        <v>17</v>
      </c>
      <c r="C51" s="50" t="s">
        <v>322</v>
      </c>
      <c r="D51" s="50" t="s">
        <v>290</v>
      </c>
    </row>
    <row r="52" spans="1:4">
      <c r="A52" s="50" t="s">
        <v>11</v>
      </c>
      <c r="B52" s="50" t="s">
        <v>282</v>
      </c>
      <c r="C52" s="50" t="s">
        <v>322</v>
      </c>
      <c r="D52" s="50" t="s">
        <v>290</v>
      </c>
    </row>
    <row r="53" spans="1:4">
      <c r="A53" s="59" t="s">
        <v>11</v>
      </c>
      <c r="B53" s="59" t="s">
        <v>285</v>
      </c>
      <c r="C53" s="408" t="s">
        <v>288</v>
      </c>
      <c r="D53" s="409"/>
    </row>
    <row r="54" spans="1:4">
      <c r="A54" s="59" t="s">
        <v>11</v>
      </c>
      <c r="B54" s="273" t="s">
        <v>18</v>
      </c>
      <c r="C54" s="408" t="s">
        <v>288</v>
      </c>
      <c r="D54" s="409"/>
    </row>
    <row r="55" spans="1:4">
      <c r="A55" s="129" t="s">
        <v>20</v>
      </c>
      <c r="B55" s="59" t="s">
        <v>21</v>
      </c>
      <c r="C55" s="408" t="s">
        <v>288</v>
      </c>
      <c r="D55" s="409"/>
    </row>
    <row r="56" spans="1:4">
      <c r="A56" s="129" t="s">
        <v>20</v>
      </c>
      <c r="B56" s="273" t="s">
        <v>22</v>
      </c>
      <c r="C56" s="408" t="s">
        <v>288</v>
      </c>
      <c r="D56" s="409"/>
    </row>
    <row r="57" spans="1:4">
      <c r="A57" s="129" t="s">
        <v>20</v>
      </c>
      <c r="B57" s="129" t="s">
        <v>23</v>
      </c>
      <c r="C57" s="408" t="s">
        <v>288</v>
      </c>
      <c r="D57" s="409"/>
    </row>
    <row r="58" spans="1:4">
      <c r="A58" s="129" t="s">
        <v>20</v>
      </c>
      <c r="B58" s="129" t="s">
        <v>24</v>
      </c>
      <c r="C58" s="408" t="s">
        <v>288</v>
      </c>
      <c r="D58" s="409"/>
    </row>
    <row r="59" spans="1:4">
      <c r="A59" s="29" t="s">
        <v>20</v>
      </c>
      <c r="B59" s="29" t="s">
        <v>25</v>
      </c>
      <c r="C59" s="29" t="s">
        <v>322</v>
      </c>
      <c r="D59" s="29" t="s">
        <v>290</v>
      </c>
    </row>
    <row r="60" spans="1:4">
      <c r="A60" s="29" t="s">
        <v>20</v>
      </c>
      <c r="B60" s="29" t="s">
        <v>26</v>
      </c>
      <c r="C60" s="29" t="s">
        <v>322</v>
      </c>
      <c r="D60" s="29" t="s">
        <v>290</v>
      </c>
    </row>
    <row r="61" spans="1:4">
      <c r="A61" s="29" t="s">
        <v>20</v>
      </c>
      <c r="B61" s="29" t="s">
        <v>283</v>
      </c>
      <c r="C61" s="29" t="s">
        <v>322</v>
      </c>
      <c r="D61" s="29" t="s">
        <v>290</v>
      </c>
    </row>
    <row r="62" spans="1:4">
      <c r="A62" s="29" t="s">
        <v>27</v>
      </c>
      <c r="B62" s="53" t="s">
        <v>28</v>
      </c>
      <c r="C62" s="29" t="s">
        <v>293</v>
      </c>
      <c r="D62" s="29" t="s">
        <v>270</v>
      </c>
    </row>
    <row r="63" spans="1:4">
      <c r="A63" s="29" t="s">
        <v>27</v>
      </c>
      <c r="B63" s="29" t="s">
        <v>29</v>
      </c>
      <c r="C63" s="29" t="s">
        <v>293</v>
      </c>
      <c r="D63" s="29" t="s">
        <v>270</v>
      </c>
    </row>
    <row r="64" spans="1:4">
      <c r="A64" s="29" t="s">
        <v>27</v>
      </c>
      <c r="B64" s="29" t="s">
        <v>30</v>
      </c>
      <c r="C64" s="29" t="s">
        <v>291</v>
      </c>
      <c r="D64" s="29" t="s">
        <v>268</v>
      </c>
    </row>
    <row r="65" spans="1:4">
      <c r="A65" s="29" t="s">
        <v>27</v>
      </c>
      <c r="B65" s="29" t="s">
        <v>286</v>
      </c>
      <c r="C65" s="29" t="s">
        <v>322</v>
      </c>
      <c r="D65" s="29" t="s">
        <v>290</v>
      </c>
    </row>
    <row r="66" spans="1:4">
      <c r="A66" s="29" t="s">
        <v>27</v>
      </c>
      <c r="B66" s="29" t="s">
        <v>31</v>
      </c>
      <c r="C66" s="29" t="s">
        <v>322</v>
      </c>
      <c r="D66" s="29" t="s">
        <v>290</v>
      </c>
    </row>
    <row r="67" spans="1:4">
      <c r="A67" s="29" t="s">
        <v>27</v>
      </c>
      <c r="B67" s="53" t="s">
        <v>284</v>
      </c>
      <c r="C67" s="29" t="s">
        <v>322</v>
      </c>
      <c r="D67" s="29" t="s">
        <v>290</v>
      </c>
    </row>
    <row r="68" spans="1:4">
      <c r="A68" s="129" t="s">
        <v>27</v>
      </c>
      <c r="B68" s="129" t="s">
        <v>32</v>
      </c>
      <c r="C68" s="408" t="s">
        <v>288</v>
      </c>
      <c r="D68" s="409"/>
    </row>
    <row r="69" spans="1:4">
      <c r="A69" s="129" t="s">
        <v>27</v>
      </c>
      <c r="B69" s="129" t="s">
        <v>33</v>
      </c>
      <c r="C69" s="408" t="s">
        <v>288</v>
      </c>
      <c r="D69" s="409"/>
    </row>
    <row r="70" spans="1:4">
      <c r="A70" s="29" t="s">
        <v>27</v>
      </c>
      <c r="B70" s="29" t="s">
        <v>287</v>
      </c>
      <c r="C70" s="29" t="s">
        <v>322</v>
      </c>
      <c r="D70" s="29" t="s">
        <v>290</v>
      </c>
    </row>
  </sheetData>
  <sheetProtection algorithmName="SHA-512" hashValue="LP2ZUPP+EhdH7lCEINPBH+hQzyddgAykUl8aauAx7nmPXS0ygTXlUUnX2IN9NU5qhXE+EcpfdgZot1ukolWj2w==" saltValue="VCBNAE6BoETgswkhTse8jg==" spinCount="100000" sheet="1" objects="1" scenarios="1"/>
  <mergeCells count="19">
    <mergeCell ref="Q2:T2"/>
    <mergeCell ref="U2:W2"/>
    <mergeCell ref="O1:AE1"/>
    <mergeCell ref="G17:J17"/>
    <mergeCell ref="A14:B14"/>
    <mergeCell ref="G2:J2"/>
    <mergeCell ref="K2:M2"/>
    <mergeCell ref="A2:F2"/>
    <mergeCell ref="A15:N15"/>
    <mergeCell ref="A1:N1"/>
    <mergeCell ref="C57:D57"/>
    <mergeCell ref="C58:D58"/>
    <mergeCell ref="C68:D68"/>
    <mergeCell ref="C69:D69"/>
    <mergeCell ref="C47:D47"/>
    <mergeCell ref="C53:D53"/>
    <mergeCell ref="C54:D54"/>
    <mergeCell ref="C55:D55"/>
    <mergeCell ref="C56:D56"/>
  </mergeCells>
  <phoneticPr fontId="4" type="noConversion"/>
  <conditionalFormatting sqref="D5:D14 C18:D21">
    <cfRule type="expression" dxfId="15" priority="34">
      <formula>N5="Non-res special"</formula>
    </cfRule>
  </conditionalFormatting>
  <conditionalFormatting sqref="K5:K12">
    <cfRule type="expression" dxfId="13" priority="4">
      <formula>ISNUMBER(K5)</formula>
    </cfRule>
  </conditionalFormatting>
  <conditionalFormatting sqref="K18:K21">
    <cfRule type="expression" dxfId="12" priority="7">
      <formula>ISNUMBER(K18)</formula>
    </cfRule>
    <cfRule type="containsText" dxfId="11" priority="8" operator="containsText" text="Enter value here...">
      <formula>NOT(ISERROR(SEARCH("Enter value here...",K18)))</formula>
    </cfRule>
  </conditionalFormatting>
  <conditionalFormatting sqref="K5:M12">
    <cfRule type="containsBlanks" dxfId="10" priority="1">
      <formula>LEN(TRIM(K5))=0</formula>
    </cfRule>
    <cfRule type="containsText" dxfId="9" priority="5" operator="containsText" text="Enter value here...">
      <formula>NOT(ISERROR(SEARCH("Enter value here...",K5)))</formula>
    </cfRule>
  </conditionalFormatting>
  <conditionalFormatting sqref="L5:L12">
    <cfRule type="expression" dxfId="8" priority="3">
      <formula>ISNUMBER($L5)</formula>
    </cfRule>
  </conditionalFormatting>
  <conditionalFormatting sqref="L18:L21">
    <cfRule type="expression" dxfId="7" priority="14">
      <formula>ISNUMBER($L18)</formula>
    </cfRule>
    <cfRule type="containsText" dxfId="6" priority="15" operator="containsText" text="Enter value here...">
      <formula>NOT(ISERROR(SEARCH("Enter value here...",L18)))</formula>
    </cfRule>
  </conditionalFormatting>
  <conditionalFormatting sqref="M5:M12">
    <cfRule type="expression" dxfId="5" priority="2">
      <formula>ISNUMBER($M5)</formula>
    </cfRule>
  </conditionalFormatting>
  <conditionalFormatting sqref="M18:M21">
    <cfRule type="expression" dxfId="4" priority="11">
      <formula>ISNUMBER($M18)</formula>
    </cfRule>
    <cfRule type="containsText" dxfId="3" priority="12" operator="containsText" text="Enter value here...">
      <formula>NOT(ISERROR(SEARCH("Enter value here...",M18)))</formula>
    </cfRule>
  </conditionalFormatting>
  <conditionalFormatting sqref="N5:N12">
    <cfRule type="cellIs" dxfId="2" priority="9" operator="equal">
      <formula>"Consultant value is below average"</formula>
    </cfRule>
  </conditionalFormatting>
  <conditionalFormatting sqref="Q5:W21">
    <cfRule type="cellIs" dxfId="1" priority="30" operator="equal">
      <formula>1</formula>
    </cfRule>
  </conditionalFormatting>
  <conditionalFormatting sqref="Y5:AE21">
    <cfRule type="cellIs" dxfId="0" priority="26" operator="equal">
      <formula>1</formula>
    </cfRule>
  </conditionalFormatting>
  <dataValidations count="4">
    <dataValidation type="list" allowBlank="1" showInputMessage="1" showErrorMessage="1" sqref="E5:E12" xr:uid="{FD084872-AFFD-4A15-AA3D-15C5DE79C6A3}">
      <formula1>RW</formula1>
    </dataValidation>
    <dataValidation type="list" allowBlank="1" showInputMessage="1" showErrorMessage="1" sqref="B5:B12" xr:uid="{DAE3D622-9D91-4874-AE3A-48CCFFC9E2AF}">
      <formula1>INDIRECT(A5)</formula1>
    </dataValidation>
    <dataValidation type="list" allowBlank="1" showInputMessage="1" showErrorMessage="1" sqref="E18:E21" xr:uid="{91F44BE9-B5AC-44F2-B20B-776439CE2607}">
      <formula1>"PW only, PW &amp; RW, PW &amp; RW not required"</formula1>
    </dataValidation>
    <dataValidation type="list" allowBlank="1" showInputMessage="1" showErrorMessage="1" sqref="A18:A21" xr:uid="{2BF75CA6-7377-4115-B1BE-BB3EB1218B01}">
      <formula1>"Non-std residential, Non-std commercial, Non-std industrial, Non-std special use"</formula1>
    </dataValidation>
  </dataValidations>
  <pageMargins left="0.7" right="0.7" top="0.75" bottom="0.75" header="0.3" footer="0.3"/>
  <pageSetup paperSize="9" orientation="portrait" r:id="rId1"/>
  <ignoredErrors>
    <ignoredError sqref="K6:M12 C5:C12" unlockedFormula="1"/>
  </ignoredErrors>
  <extLst>
    <ext xmlns:x14="http://schemas.microsoft.com/office/spreadsheetml/2009/9/main" uri="{78C0D931-6437-407d-A8EE-F0AAD7539E65}">
      <x14:conditionalFormattings>
        <x14:conditionalFormatting xmlns:xm="http://schemas.microsoft.com/office/excel/2006/main">
          <x14:cfRule type="containsText" priority="31" operator="containsText" id="{3760C0E9-8C26-4240-8AC5-CBFC2087C0E5}">
            <xm:f>NOT(ISERROR(SEARCH("*Consultant*",G5)))</xm:f>
            <xm:f>"*Consultant*"</xm:f>
            <x14:dxf>
              <font>
                <strike val="0"/>
                <color rgb="FFC00000"/>
              </font>
            </x14:dxf>
          </x14:cfRule>
          <xm:sqref>G5:J14 G18:J21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C43EA550-CD15-4591-806D-5E4C7C10D3C1}">
          <x14:formula1>
            <xm:f>Lists!$B$3:$B$7</xm:f>
          </x14:formula1>
          <xm:sqref>A5:A12</xm:sqref>
        </x14:dataValidation>
        <x14:dataValidation type="list" allowBlank="1" showInputMessage="1" showErrorMessage="1" xr:uid="{A7B1483C-3056-4367-849E-75CDF48FCE42}">
          <x14:formula1>
            <xm:f>INDIRECT(Lists!$I35)</xm:f>
          </x14:formula1>
          <xm:sqref>F5:F12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8B8E1-FEC0-4B90-A6A1-F73C821E9BB9}">
  <sheetPr>
    <tabColor rgb="FFFF0000"/>
  </sheetPr>
  <dimension ref="A1:BP200"/>
  <sheetViews>
    <sheetView showGridLines="0" workbookViewId="0">
      <selection activeCell="E28" sqref="E28"/>
    </sheetView>
  </sheetViews>
  <sheetFormatPr defaultRowHeight="12.75"/>
  <cols>
    <col min="1" max="1" width="1.140625" customWidth="1"/>
    <col min="2" max="2" width="19" style="191" customWidth="1"/>
    <col min="3" max="3" width="35.42578125" style="191" customWidth="1"/>
    <col min="4" max="4" width="7.5703125" style="191" customWidth="1"/>
    <col min="5" max="5" width="28.28515625" style="191" customWidth="1"/>
    <col min="6" max="6" width="27.5703125" style="191" customWidth="1"/>
    <col min="7" max="7" width="19.85546875" style="191" customWidth="1"/>
    <col min="8" max="8" width="27.85546875" style="191" customWidth="1"/>
    <col min="9" max="9" width="10.140625" style="191" customWidth="1"/>
    <col min="10" max="49" width="12.140625" style="191" customWidth="1"/>
    <col min="50" max="70" width="9.140625" style="191"/>
    <col min="71" max="71" width="3.7109375" style="191" customWidth="1"/>
    <col min="72" max="16384" width="9.140625" style="191"/>
  </cols>
  <sheetData>
    <row r="1" spans="1:68" customFormat="1" ht="35.25" customHeight="1">
      <c r="A1" s="141"/>
      <c r="B1" s="425" t="s">
        <v>38</v>
      </c>
      <c r="C1" s="425"/>
      <c r="D1" s="425"/>
      <c r="E1" s="425"/>
      <c r="F1" s="425"/>
      <c r="G1" s="425"/>
      <c r="H1" s="425"/>
    </row>
    <row r="2" spans="1:68" customFormat="1" ht="24.75" customHeight="1">
      <c r="A2" s="140"/>
      <c r="B2" s="424" t="s">
        <v>179</v>
      </c>
      <c r="C2" s="424"/>
      <c r="D2" s="424"/>
      <c r="E2" s="424"/>
      <c r="F2" s="424"/>
      <c r="G2" s="424"/>
      <c r="H2" s="34"/>
    </row>
    <row r="3" spans="1:68" customFormat="1" ht="9" customHeight="1">
      <c r="A3" s="34"/>
      <c r="B3" s="34"/>
      <c r="C3" s="34"/>
      <c r="D3" s="34"/>
      <c r="E3" s="34"/>
      <c r="F3" s="34"/>
      <c r="G3" s="34"/>
      <c r="H3" s="34"/>
    </row>
    <row r="4" spans="1:68" customFormat="1" ht="22.5" customHeight="1">
      <c r="A4" s="34"/>
      <c r="B4" s="427" t="s">
        <v>98</v>
      </c>
      <c r="C4" s="428"/>
      <c r="D4" s="187" cm="1">
        <f t="array" ref="D4">COUNT(_xlfn._xlws.FILTER('Data Input'!K5:K21, ISNUMBER('Data Input'!K5:K21)))+COUNT(_xlfn._xlws.FILTER('Data Input'!L5:L21, ISNUMBER('Data Input'!L5:L21)))+COUNT(_xlfn._xlws.FILTER('Data Input'!M5:M21, ISNUMBER('Data Input'!M5:M21)))</f>
        <v>0</v>
      </c>
      <c r="E4" s="186"/>
      <c r="F4" s="188"/>
      <c r="G4" s="185"/>
      <c r="H4" s="34"/>
    </row>
    <row r="5" spans="1:68" customFormat="1" ht="11.25" customHeight="1">
      <c r="A5" s="34"/>
      <c r="B5" s="34"/>
      <c r="C5" s="34"/>
      <c r="D5" s="34"/>
      <c r="E5" s="34"/>
      <c r="F5" s="34"/>
      <c r="G5" s="34"/>
      <c r="H5" s="34"/>
    </row>
    <row r="6" spans="1:68" customFormat="1">
      <c r="A6" s="34"/>
      <c r="B6" s="145" t="s">
        <v>229</v>
      </c>
      <c r="C6" s="34"/>
      <c r="D6" s="34"/>
      <c r="E6" s="34"/>
      <c r="F6" s="34"/>
      <c r="G6" s="34"/>
      <c r="H6" s="34"/>
    </row>
    <row r="7" spans="1:68" customFormat="1">
      <c r="A7" s="34"/>
      <c r="B7" s="145" t="s">
        <v>178</v>
      </c>
      <c r="C7" s="34"/>
      <c r="D7" s="34"/>
      <c r="E7" s="34"/>
      <c r="F7" s="34"/>
      <c r="G7" s="34"/>
      <c r="H7" s="34"/>
    </row>
    <row r="8" spans="1:68" customFormat="1" ht="6" customHeight="1">
      <c r="A8" s="34"/>
      <c r="B8" s="34"/>
      <c r="C8" s="34"/>
      <c r="D8" s="34"/>
      <c r="E8" s="34"/>
      <c r="F8" s="34"/>
      <c r="G8" s="34"/>
      <c r="H8" s="34"/>
    </row>
    <row r="9" spans="1:68" customFormat="1" ht="6" customHeight="1">
      <c r="B9" s="33"/>
      <c r="D9" s="23"/>
      <c r="E9" s="23"/>
      <c r="F9" s="23"/>
      <c r="G9" s="56"/>
    </row>
    <row r="10" spans="1:68" customFormat="1" ht="12.75" customHeight="1">
      <c r="A10" s="4"/>
      <c r="B10" s="426" t="s">
        <v>230</v>
      </c>
      <c r="C10" s="426"/>
      <c r="D10" s="426"/>
      <c r="E10" s="426"/>
      <c r="F10" s="426"/>
      <c r="G10" s="426"/>
      <c r="H10" s="426"/>
    </row>
    <row r="11" spans="1:68" customFormat="1" ht="12.75" customHeight="1">
      <c r="A11" s="10"/>
      <c r="B11" s="426"/>
      <c r="C11" s="426"/>
      <c r="D11" s="426"/>
      <c r="E11" s="426"/>
      <c r="F11" s="426"/>
      <c r="G11" s="426"/>
      <c r="H11" s="426"/>
      <c r="BN11" s="23"/>
      <c r="BO11" s="23"/>
      <c r="BP11" s="23"/>
    </row>
    <row r="12" spans="1:68" customFormat="1" ht="33" customHeight="1">
      <c r="B12" s="215" t="s">
        <v>218</v>
      </c>
      <c r="C12" s="214" t="s">
        <v>219</v>
      </c>
      <c r="D12" s="429" t="s">
        <v>220</v>
      </c>
      <c r="E12" s="430"/>
      <c r="F12" s="214" t="s">
        <v>221</v>
      </c>
      <c r="G12" s="214" t="s">
        <v>222</v>
      </c>
      <c r="H12" s="216" t="s">
        <v>223</v>
      </c>
      <c r="BN12" s="23"/>
      <c r="BO12" s="23"/>
      <c r="BP12" s="23"/>
    </row>
    <row r="13" spans="1:68" s="16" customFormat="1" ht="19.5" customHeight="1">
      <c r="B13" s="123"/>
      <c r="C13" s="120"/>
      <c r="D13" s="421"/>
      <c r="E13" s="422"/>
      <c r="F13" s="120"/>
      <c r="G13" s="121"/>
      <c r="H13" s="122" t="s">
        <v>315</v>
      </c>
      <c r="BN13" s="4"/>
      <c r="BO13" s="4"/>
      <c r="BP13" s="4"/>
    </row>
    <row r="14" spans="1:68" s="16" customFormat="1" ht="19.5" customHeight="1">
      <c r="A14" s="4"/>
      <c r="B14" s="123"/>
      <c r="C14" s="120"/>
      <c r="D14" s="421"/>
      <c r="E14" s="422"/>
      <c r="F14" s="120"/>
      <c r="G14" s="121"/>
      <c r="H14" s="122"/>
    </row>
    <row r="15" spans="1:68" s="16" customFormat="1" ht="19.5" customHeight="1">
      <c r="A15" s="4"/>
      <c r="B15" s="123"/>
      <c r="C15" s="120"/>
      <c r="D15" s="421"/>
      <c r="E15" s="422"/>
      <c r="F15" s="120"/>
      <c r="G15" s="121"/>
      <c r="H15" s="122"/>
    </row>
    <row r="16" spans="1:68" customFormat="1" ht="19.5" hidden="1" customHeight="1">
      <c r="B16" s="217">
        <f>COUNTA(B13:B15)</f>
        <v>0</v>
      </c>
      <c r="C16" s="217">
        <f>COUNTA(C13:C15)</f>
        <v>0</v>
      </c>
      <c r="D16" s="423">
        <f>COUNTA(D13:D15)</f>
        <v>0</v>
      </c>
      <c r="E16" s="423"/>
      <c r="F16" s="217">
        <f>COUNTA(F13:F15)</f>
        <v>0</v>
      </c>
      <c r="G16" s="217">
        <f>COUNTA(G13:G15)</f>
        <v>0</v>
      </c>
      <c r="H16" s="217">
        <f>COUNTA(H13:H15)</f>
        <v>1</v>
      </c>
    </row>
    <row r="17" spans="2:8" customFormat="1"/>
    <row r="18" spans="2:8" customFormat="1">
      <c r="B18" s="33" t="s">
        <v>313</v>
      </c>
    </row>
    <row r="19" spans="2:8">
      <c r="B19" s="363"/>
      <c r="C19" s="363"/>
      <c r="D19" s="363"/>
      <c r="E19" s="363"/>
      <c r="F19" s="363"/>
      <c r="G19" s="363"/>
      <c r="H19" s="363"/>
    </row>
    <row r="20" spans="2:8">
      <c r="B20" s="363"/>
      <c r="C20" s="363"/>
      <c r="D20" s="363"/>
      <c r="E20" s="363"/>
      <c r="F20" s="363"/>
      <c r="G20" s="363"/>
      <c r="H20" s="363"/>
    </row>
    <row r="21" spans="2:8">
      <c r="B21" s="363"/>
      <c r="C21" s="363"/>
      <c r="D21" s="363"/>
      <c r="E21" s="363"/>
      <c r="F21" s="363"/>
      <c r="G21" s="363"/>
      <c r="H21" s="363"/>
    </row>
    <row r="22" spans="2:8">
      <c r="B22" s="363"/>
      <c r="C22" s="363"/>
      <c r="D22" s="363"/>
      <c r="E22" s="363"/>
      <c r="F22" s="363"/>
      <c r="G22" s="363"/>
      <c r="H22" s="363"/>
    </row>
    <row r="23" spans="2:8">
      <c r="B23" s="363"/>
      <c r="C23" s="363"/>
      <c r="D23" s="363"/>
      <c r="E23" s="363"/>
      <c r="F23" s="363"/>
      <c r="G23" s="363"/>
      <c r="H23" s="363"/>
    </row>
    <row r="24" spans="2:8">
      <c r="B24" s="363"/>
      <c r="C24" s="363"/>
      <c r="D24" s="363"/>
      <c r="E24" s="363"/>
      <c r="F24" s="363"/>
      <c r="G24" s="363"/>
      <c r="H24" s="363"/>
    </row>
    <row r="25" spans="2:8">
      <c r="B25" s="363"/>
      <c r="C25" s="363"/>
      <c r="D25" s="363"/>
      <c r="E25" s="363"/>
      <c r="F25" s="363"/>
      <c r="G25" s="363"/>
      <c r="H25" s="363"/>
    </row>
    <row r="26" spans="2:8">
      <c r="B26" s="363"/>
      <c r="C26" s="363"/>
      <c r="D26" s="363"/>
      <c r="E26" s="363"/>
      <c r="F26" s="363"/>
      <c r="G26" s="363"/>
      <c r="H26" s="363"/>
    </row>
    <row r="27" spans="2:8">
      <c r="B27" s="363"/>
      <c r="C27" s="363"/>
      <c r="D27" s="363"/>
      <c r="E27" s="363"/>
      <c r="F27" s="363"/>
      <c r="G27" s="363"/>
      <c r="H27" s="363"/>
    </row>
    <row r="28" spans="2:8">
      <c r="B28" s="363"/>
      <c r="C28" s="363"/>
      <c r="D28" s="363"/>
      <c r="E28" s="363"/>
      <c r="F28" s="363"/>
      <c r="G28" s="363"/>
      <c r="H28" s="363"/>
    </row>
    <row r="29" spans="2:8">
      <c r="B29" s="363"/>
      <c r="C29" s="363"/>
      <c r="D29" s="363"/>
      <c r="E29" s="363"/>
      <c r="F29" s="363"/>
      <c r="G29" s="363"/>
      <c r="H29" s="363"/>
    </row>
    <row r="30" spans="2:8">
      <c r="B30" s="363"/>
      <c r="C30" s="363"/>
      <c r="D30" s="363"/>
      <c r="E30" s="363"/>
      <c r="F30" s="363"/>
      <c r="G30" s="363"/>
      <c r="H30" s="363"/>
    </row>
    <row r="31" spans="2:8">
      <c r="B31" s="363"/>
      <c r="C31" s="363"/>
      <c r="D31" s="363"/>
      <c r="E31" s="363"/>
      <c r="F31" s="363"/>
      <c r="G31" s="363"/>
      <c r="H31" s="363"/>
    </row>
    <row r="32" spans="2:8">
      <c r="B32" s="363"/>
      <c r="C32" s="363"/>
      <c r="D32" s="363"/>
      <c r="E32" s="363"/>
      <c r="F32" s="363"/>
      <c r="G32" s="363"/>
      <c r="H32" s="363"/>
    </row>
    <row r="33" spans="2:8">
      <c r="B33" s="363"/>
      <c r="C33" s="363"/>
      <c r="D33" s="363"/>
      <c r="E33" s="363"/>
      <c r="F33" s="363"/>
      <c r="G33" s="363"/>
      <c r="H33" s="363"/>
    </row>
    <row r="34" spans="2:8">
      <c r="B34" s="363"/>
      <c r="C34" s="363"/>
      <c r="D34" s="363"/>
      <c r="E34" s="363"/>
      <c r="F34" s="363"/>
      <c r="G34" s="363"/>
      <c r="H34" s="363"/>
    </row>
    <row r="35" spans="2:8">
      <c r="B35" s="363"/>
      <c r="C35" s="363"/>
      <c r="D35" s="363"/>
      <c r="E35" s="363"/>
      <c r="F35" s="363"/>
      <c r="G35" s="363"/>
      <c r="H35" s="363"/>
    </row>
    <row r="36" spans="2:8">
      <c r="B36" s="363"/>
      <c r="C36" s="363"/>
      <c r="D36" s="363"/>
      <c r="E36" s="363"/>
      <c r="F36" s="363"/>
      <c r="G36" s="363"/>
      <c r="H36" s="363"/>
    </row>
    <row r="37" spans="2:8">
      <c r="B37" s="363"/>
      <c r="C37" s="363"/>
      <c r="D37" s="363"/>
      <c r="E37" s="363"/>
      <c r="F37" s="363"/>
      <c r="G37" s="363"/>
      <c r="H37" s="363"/>
    </row>
    <row r="38" spans="2:8">
      <c r="B38" s="363"/>
      <c r="C38" s="363"/>
      <c r="D38" s="363"/>
      <c r="E38" s="363"/>
      <c r="F38" s="363"/>
      <c r="G38" s="363"/>
      <c r="H38" s="363"/>
    </row>
    <row r="39" spans="2:8">
      <c r="B39" s="363"/>
      <c r="C39" s="363"/>
      <c r="D39" s="363"/>
      <c r="E39" s="363"/>
      <c r="F39" s="363"/>
      <c r="G39" s="363"/>
      <c r="H39" s="363"/>
    </row>
    <row r="40" spans="2:8">
      <c r="B40" s="363"/>
      <c r="C40" s="363"/>
      <c r="D40" s="363"/>
      <c r="E40" s="363"/>
      <c r="F40" s="363"/>
      <c r="G40" s="363"/>
      <c r="H40" s="363"/>
    </row>
    <row r="41" spans="2:8">
      <c r="B41" s="363"/>
      <c r="C41" s="363"/>
      <c r="D41" s="363"/>
      <c r="E41" s="363"/>
      <c r="F41" s="363"/>
      <c r="G41" s="363"/>
      <c r="H41" s="363"/>
    </row>
    <row r="42" spans="2:8">
      <c r="B42" s="363"/>
      <c r="C42" s="363"/>
      <c r="D42" s="363"/>
      <c r="E42" s="363"/>
      <c r="F42" s="363"/>
      <c r="G42" s="363"/>
      <c r="H42" s="363"/>
    </row>
    <row r="43" spans="2:8">
      <c r="B43" s="363"/>
      <c r="C43" s="363"/>
      <c r="D43" s="363"/>
      <c r="E43" s="363"/>
      <c r="F43" s="363"/>
      <c r="G43" s="363"/>
      <c r="H43" s="363"/>
    </row>
    <row r="44" spans="2:8">
      <c r="B44" s="363"/>
      <c r="C44" s="363"/>
      <c r="D44" s="363"/>
      <c r="E44" s="363"/>
      <c r="F44" s="363"/>
      <c r="G44" s="363"/>
      <c r="H44" s="363"/>
    </row>
    <row r="45" spans="2:8">
      <c r="B45" s="363"/>
      <c r="C45" s="363"/>
      <c r="D45" s="363"/>
      <c r="E45" s="363"/>
      <c r="F45" s="363"/>
      <c r="G45" s="363"/>
      <c r="H45" s="363"/>
    </row>
    <row r="46" spans="2:8">
      <c r="B46" s="363"/>
      <c r="C46" s="363"/>
      <c r="D46" s="363"/>
      <c r="E46" s="363"/>
      <c r="F46" s="363"/>
      <c r="G46" s="363"/>
      <c r="H46" s="363"/>
    </row>
    <row r="47" spans="2:8">
      <c r="B47" s="363"/>
      <c r="C47" s="363"/>
      <c r="D47" s="363"/>
      <c r="E47" s="363"/>
      <c r="F47" s="363"/>
      <c r="G47" s="363"/>
      <c r="H47" s="363"/>
    </row>
    <row r="48" spans="2:8">
      <c r="B48" s="363"/>
      <c r="C48" s="363"/>
      <c r="D48" s="363"/>
      <c r="E48" s="363"/>
      <c r="F48" s="363"/>
      <c r="G48" s="363"/>
      <c r="H48" s="363"/>
    </row>
    <row r="49" spans="2:8">
      <c r="B49" s="363"/>
      <c r="C49" s="363"/>
      <c r="D49" s="363"/>
      <c r="E49" s="363"/>
      <c r="F49" s="363"/>
      <c r="G49" s="363"/>
      <c r="H49" s="363"/>
    </row>
    <row r="50" spans="2:8">
      <c r="B50" s="363"/>
      <c r="C50" s="363"/>
      <c r="D50" s="363"/>
      <c r="E50" s="363"/>
      <c r="F50" s="363"/>
      <c r="G50" s="363"/>
      <c r="H50" s="363"/>
    </row>
    <row r="51" spans="2:8">
      <c r="B51" s="363"/>
      <c r="C51" s="363"/>
      <c r="D51" s="363"/>
      <c r="E51" s="363"/>
      <c r="F51" s="363"/>
      <c r="G51" s="363"/>
      <c r="H51" s="363"/>
    </row>
    <row r="52" spans="2:8">
      <c r="B52" s="363"/>
      <c r="C52" s="363"/>
      <c r="D52" s="363"/>
      <c r="E52" s="363"/>
      <c r="F52" s="363"/>
      <c r="G52" s="363"/>
      <c r="H52" s="363"/>
    </row>
    <row r="53" spans="2:8">
      <c r="B53" s="363"/>
      <c r="C53" s="363"/>
      <c r="D53" s="363"/>
      <c r="E53" s="363"/>
      <c r="F53" s="363"/>
      <c r="G53" s="363"/>
      <c r="H53" s="363"/>
    </row>
    <row r="54" spans="2:8">
      <c r="B54" s="363"/>
      <c r="C54" s="363"/>
      <c r="D54" s="363"/>
      <c r="E54" s="363"/>
      <c r="F54" s="363"/>
      <c r="G54" s="363"/>
      <c r="H54" s="363"/>
    </row>
    <row r="55" spans="2:8">
      <c r="B55" s="363"/>
      <c r="C55" s="363"/>
      <c r="D55" s="363"/>
      <c r="E55" s="363"/>
      <c r="F55" s="363"/>
      <c r="G55" s="363"/>
      <c r="H55" s="363"/>
    </row>
    <row r="56" spans="2:8">
      <c r="B56" s="363"/>
      <c r="C56" s="363"/>
      <c r="D56" s="363"/>
      <c r="E56" s="363"/>
      <c r="F56" s="363"/>
      <c r="G56" s="363"/>
      <c r="H56" s="363"/>
    </row>
    <row r="57" spans="2:8">
      <c r="B57" s="363"/>
      <c r="C57" s="363"/>
      <c r="D57" s="363"/>
      <c r="E57" s="363"/>
      <c r="F57" s="363"/>
      <c r="G57" s="363"/>
      <c r="H57" s="363"/>
    </row>
    <row r="58" spans="2:8">
      <c r="B58" s="363"/>
      <c r="C58" s="363"/>
      <c r="D58" s="363"/>
      <c r="E58" s="363"/>
      <c r="F58" s="363"/>
      <c r="G58" s="363"/>
      <c r="H58" s="363"/>
    </row>
    <row r="59" spans="2:8">
      <c r="B59" s="363"/>
      <c r="C59" s="363"/>
      <c r="D59" s="363"/>
      <c r="E59" s="363"/>
      <c r="F59" s="363"/>
      <c r="G59" s="363"/>
      <c r="H59" s="363"/>
    </row>
    <row r="60" spans="2:8">
      <c r="B60" s="363"/>
      <c r="C60" s="363"/>
      <c r="D60" s="363"/>
      <c r="E60" s="363"/>
      <c r="F60" s="363"/>
      <c r="G60" s="363"/>
      <c r="H60" s="363"/>
    </row>
    <row r="61" spans="2:8">
      <c r="B61" s="363"/>
      <c r="C61" s="363"/>
      <c r="D61" s="363"/>
      <c r="E61" s="363"/>
      <c r="F61" s="363"/>
      <c r="G61" s="363"/>
      <c r="H61" s="363"/>
    </row>
    <row r="62" spans="2:8">
      <c r="B62" s="363"/>
      <c r="C62" s="363"/>
      <c r="D62" s="363"/>
      <c r="E62" s="363"/>
      <c r="F62" s="363"/>
      <c r="G62" s="363"/>
      <c r="H62" s="363"/>
    </row>
    <row r="63" spans="2:8">
      <c r="B63" s="363"/>
      <c r="C63" s="363"/>
      <c r="D63" s="363"/>
      <c r="E63" s="363"/>
      <c r="F63" s="363"/>
      <c r="G63" s="363"/>
      <c r="H63" s="363"/>
    </row>
    <row r="64" spans="2:8">
      <c r="B64" s="363"/>
      <c r="C64" s="363"/>
      <c r="D64" s="363"/>
      <c r="E64" s="363"/>
      <c r="F64" s="363"/>
      <c r="G64" s="363"/>
      <c r="H64" s="363"/>
    </row>
    <row r="65" spans="2:8">
      <c r="B65" s="363"/>
      <c r="C65" s="363"/>
      <c r="D65" s="363"/>
      <c r="E65" s="363"/>
      <c r="F65" s="363"/>
      <c r="G65" s="363"/>
      <c r="H65" s="363"/>
    </row>
    <row r="66" spans="2:8">
      <c r="B66" s="363"/>
      <c r="C66" s="363"/>
      <c r="D66" s="363"/>
      <c r="E66" s="363"/>
      <c r="F66" s="363"/>
      <c r="G66" s="363"/>
      <c r="H66" s="363"/>
    </row>
    <row r="67" spans="2:8">
      <c r="B67" s="363"/>
      <c r="C67" s="363"/>
      <c r="D67" s="363"/>
      <c r="E67" s="363"/>
      <c r="F67" s="363"/>
      <c r="G67" s="363"/>
      <c r="H67" s="363"/>
    </row>
    <row r="68" spans="2:8">
      <c r="B68" s="363"/>
      <c r="C68" s="363"/>
      <c r="D68" s="363"/>
      <c r="E68" s="363"/>
      <c r="F68" s="363"/>
      <c r="G68" s="363"/>
      <c r="H68" s="363"/>
    </row>
    <row r="69" spans="2:8">
      <c r="B69" s="363"/>
      <c r="C69" s="363"/>
      <c r="D69" s="363"/>
      <c r="E69" s="363"/>
      <c r="F69" s="363"/>
      <c r="G69" s="363"/>
      <c r="H69" s="363"/>
    </row>
    <row r="70" spans="2:8">
      <c r="B70" s="363"/>
      <c r="C70" s="363"/>
      <c r="D70" s="363"/>
      <c r="E70" s="363"/>
      <c r="F70" s="363"/>
      <c r="G70" s="363"/>
      <c r="H70" s="363"/>
    </row>
    <row r="71" spans="2:8">
      <c r="B71" s="363"/>
      <c r="C71" s="363"/>
      <c r="D71" s="363"/>
      <c r="E71" s="363"/>
      <c r="F71" s="363"/>
      <c r="G71" s="363"/>
      <c r="H71" s="363"/>
    </row>
    <row r="72" spans="2:8">
      <c r="B72" s="363"/>
      <c r="C72" s="363"/>
      <c r="D72" s="363"/>
      <c r="E72" s="363"/>
      <c r="F72" s="363"/>
      <c r="G72" s="363"/>
      <c r="H72" s="363"/>
    </row>
    <row r="73" spans="2:8">
      <c r="B73" s="363"/>
      <c r="C73" s="363"/>
      <c r="D73" s="363"/>
      <c r="E73" s="363"/>
      <c r="F73" s="363"/>
      <c r="G73" s="363"/>
      <c r="H73" s="363"/>
    </row>
    <row r="74" spans="2:8">
      <c r="B74" s="363"/>
      <c r="C74" s="363"/>
      <c r="D74" s="363"/>
      <c r="E74" s="363"/>
      <c r="F74" s="363"/>
      <c r="G74" s="363"/>
      <c r="H74" s="363"/>
    </row>
    <row r="75" spans="2:8">
      <c r="B75" s="363"/>
      <c r="C75" s="363"/>
      <c r="D75" s="363"/>
      <c r="E75" s="363"/>
      <c r="F75" s="363"/>
      <c r="G75" s="363"/>
      <c r="H75" s="363"/>
    </row>
    <row r="76" spans="2:8">
      <c r="B76" s="363"/>
      <c r="C76" s="363"/>
      <c r="D76" s="363"/>
      <c r="E76" s="363"/>
      <c r="F76" s="363"/>
      <c r="G76" s="363"/>
      <c r="H76" s="363"/>
    </row>
    <row r="77" spans="2:8">
      <c r="B77" s="363"/>
      <c r="C77" s="363"/>
      <c r="D77" s="363"/>
      <c r="E77" s="363"/>
      <c r="F77" s="363"/>
      <c r="G77" s="363"/>
      <c r="H77" s="363"/>
    </row>
    <row r="78" spans="2:8">
      <c r="B78" s="363"/>
      <c r="C78" s="363"/>
      <c r="D78" s="363"/>
      <c r="E78" s="363"/>
      <c r="F78" s="363"/>
      <c r="G78" s="363"/>
      <c r="H78" s="363"/>
    </row>
    <row r="79" spans="2:8">
      <c r="B79" s="363"/>
      <c r="C79" s="363"/>
      <c r="D79" s="363"/>
      <c r="E79" s="363"/>
      <c r="F79" s="363"/>
      <c r="G79" s="363"/>
      <c r="H79" s="363"/>
    </row>
    <row r="80" spans="2:8">
      <c r="B80" s="363"/>
      <c r="C80" s="363"/>
      <c r="D80" s="363"/>
      <c r="E80" s="363"/>
      <c r="F80" s="363"/>
      <c r="G80" s="363"/>
      <c r="H80" s="363"/>
    </row>
    <row r="81" spans="2:8">
      <c r="B81" s="363"/>
      <c r="C81" s="363"/>
      <c r="D81" s="363"/>
      <c r="E81" s="363"/>
      <c r="F81" s="363"/>
      <c r="G81" s="363"/>
      <c r="H81" s="363"/>
    </row>
    <row r="82" spans="2:8">
      <c r="B82" s="363"/>
      <c r="C82" s="363"/>
      <c r="D82" s="363"/>
      <c r="E82" s="363"/>
      <c r="F82" s="363"/>
      <c r="G82" s="363"/>
      <c r="H82" s="363"/>
    </row>
    <row r="83" spans="2:8">
      <c r="B83" s="363"/>
      <c r="C83" s="363"/>
      <c r="D83" s="363"/>
      <c r="E83" s="363"/>
      <c r="F83" s="363"/>
      <c r="G83" s="363"/>
      <c r="H83" s="363"/>
    </row>
    <row r="84" spans="2:8">
      <c r="B84" s="363"/>
      <c r="C84" s="363"/>
      <c r="D84" s="363"/>
      <c r="E84" s="363"/>
      <c r="F84" s="363"/>
      <c r="G84" s="363"/>
      <c r="H84" s="363"/>
    </row>
    <row r="85" spans="2:8">
      <c r="B85" s="363"/>
      <c r="C85" s="363"/>
      <c r="D85" s="363"/>
      <c r="E85" s="363"/>
      <c r="F85" s="363"/>
      <c r="G85" s="363"/>
      <c r="H85" s="363"/>
    </row>
    <row r="86" spans="2:8">
      <c r="B86" s="363"/>
      <c r="C86" s="363"/>
      <c r="D86" s="363"/>
      <c r="E86" s="363"/>
      <c r="F86" s="363"/>
      <c r="G86" s="363"/>
      <c r="H86" s="363"/>
    </row>
    <row r="87" spans="2:8">
      <c r="B87" s="363"/>
      <c r="C87" s="363"/>
      <c r="D87" s="363"/>
      <c r="E87" s="363"/>
      <c r="F87" s="363"/>
      <c r="G87" s="363"/>
      <c r="H87" s="363"/>
    </row>
    <row r="88" spans="2:8">
      <c r="B88" s="363"/>
      <c r="C88" s="363"/>
      <c r="D88" s="363"/>
      <c r="E88" s="363"/>
      <c r="F88" s="363"/>
      <c r="G88" s="363"/>
      <c r="H88" s="363"/>
    </row>
    <row r="89" spans="2:8">
      <c r="B89" s="363"/>
      <c r="C89" s="363"/>
      <c r="D89" s="363"/>
      <c r="E89" s="363"/>
      <c r="F89" s="363"/>
      <c r="G89" s="363"/>
      <c r="H89" s="363"/>
    </row>
    <row r="90" spans="2:8">
      <c r="B90" s="363"/>
      <c r="C90" s="363"/>
      <c r="D90" s="363"/>
      <c r="E90" s="363"/>
      <c r="F90" s="363"/>
      <c r="G90" s="363"/>
      <c r="H90" s="363"/>
    </row>
    <row r="91" spans="2:8">
      <c r="B91" s="363"/>
      <c r="C91" s="363"/>
      <c r="D91" s="363"/>
      <c r="E91" s="363"/>
      <c r="F91" s="363"/>
      <c r="G91" s="363"/>
      <c r="H91" s="363"/>
    </row>
    <row r="92" spans="2:8">
      <c r="B92" s="363"/>
      <c r="C92" s="363"/>
      <c r="D92" s="363"/>
      <c r="E92" s="363"/>
      <c r="F92" s="363"/>
      <c r="G92" s="363"/>
      <c r="H92" s="363"/>
    </row>
    <row r="93" spans="2:8">
      <c r="B93" s="363"/>
      <c r="C93" s="363"/>
      <c r="D93" s="363"/>
      <c r="E93" s="363"/>
      <c r="F93" s="363"/>
      <c r="G93" s="363"/>
      <c r="H93" s="363"/>
    </row>
    <row r="94" spans="2:8">
      <c r="B94" s="363"/>
      <c r="C94" s="363"/>
      <c r="D94" s="363"/>
      <c r="E94" s="363"/>
      <c r="F94" s="363"/>
      <c r="G94" s="363"/>
      <c r="H94" s="363"/>
    </row>
    <row r="95" spans="2:8">
      <c r="B95" s="363"/>
      <c r="C95" s="363"/>
      <c r="D95" s="363"/>
      <c r="E95" s="363"/>
      <c r="F95" s="363"/>
      <c r="G95" s="363"/>
      <c r="H95" s="363"/>
    </row>
    <row r="96" spans="2:8">
      <c r="B96" s="363"/>
      <c r="C96" s="363"/>
      <c r="D96" s="363"/>
      <c r="E96" s="363"/>
      <c r="F96" s="363"/>
      <c r="G96" s="363"/>
      <c r="H96" s="363"/>
    </row>
    <row r="97" spans="2:8">
      <c r="B97" s="363"/>
      <c r="C97" s="363"/>
      <c r="D97" s="363"/>
      <c r="E97" s="363"/>
      <c r="F97" s="363"/>
      <c r="G97" s="363"/>
      <c r="H97" s="363"/>
    </row>
    <row r="98" spans="2:8">
      <c r="B98" s="363"/>
      <c r="C98" s="363"/>
      <c r="D98" s="363"/>
      <c r="E98" s="363"/>
      <c r="F98" s="363"/>
      <c r="G98" s="363"/>
      <c r="H98" s="363"/>
    </row>
    <row r="99" spans="2:8">
      <c r="B99" s="363"/>
      <c r="C99" s="363"/>
      <c r="D99" s="363"/>
      <c r="E99" s="363"/>
      <c r="F99" s="363"/>
      <c r="G99" s="363"/>
      <c r="H99" s="363"/>
    </row>
    <row r="100" spans="2:8">
      <c r="B100" s="363"/>
      <c r="C100" s="363"/>
      <c r="D100" s="363"/>
      <c r="E100" s="363"/>
      <c r="F100" s="363"/>
      <c r="G100" s="363"/>
      <c r="H100" s="363"/>
    </row>
    <row r="101" spans="2:8">
      <c r="B101" s="363"/>
      <c r="C101" s="363"/>
      <c r="D101" s="363"/>
      <c r="E101" s="363"/>
      <c r="F101" s="363"/>
      <c r="G101" s="363"/>
      <c r="H101" s="363"/>
    </row>
    <row r="102" spans="2:8">
      <c r="B102" s="363"/>
      <c r="C102" s="363"/>
      <c r="D102" s="363"/>
      <c r="E102" s="363"/>
      <c r="F102" s="363"/>
      <c r="G102" s="363"/>
      <c r="H102" s="363"/>
    </row>
    <row r="103" spans="2:8">
      <c r="B103" s="363"/>
      <c r="C103" s="363"/>
      <c r="D103" s="363"/>
      <c r="E103" s="363"/>
      <c r="F103" s="363"/>
      <c r="G103" s="363"/>
      <c r="H103" s="363"/>
    </row>
    <row r="104" spans="2:8">
      <c r="B104" s="363"/>
      <c r="C104" s="363"/>
      <c r="D104" s="363"/>
      <c r="E104" s="363"/>
      <c r="F104" s="363"/>
      <c r="G104" s="363"/>
      <c r="H104" s="363"/>
    </row>
    <row r="105" spans="2:8">
      <c r="B105" s="363"/>
      <c r="C105" s="363"/>
      <c r="D105" s="363"/>
      <c r="E105" s="363"/>
      <c r="F105" s="363"/>
      <c r="G105" s="363"/>
      <c r="H105" s="363"/>
    </row>
    <row r="106" spans="2:8">
      <c r="B106" s="363"/>
      <c r="C106" s="363"/>
      <c r="D106" s="363"/>
      <c r="E106" s="363"/>
      <c r="F106" s="363"/>
      <c r="G106" s="363"/>
      <c r="H106" s="363"/>
    </row>
    <row r="107" spans="2:8">
      <c r="B107" s="363"/>
      <c r="C107" s="363"/>
      <c r="D107" s="363"/>
      <c r="E107" s="363"/>
      <c r="F107" s="363"/>
      <c r="G107" s="363"/>
      <c r="H107" s="363"/>
    </row>
    <row r="108" spans="2:8">
      <c r="B108" s="363"/>
      <c r="C108" s="363"/>
      <c r="D108" s="363"/>
      <c r="E108" s="363"/>
      <c r="F108" s="363"/>
      <c r="G108" s="363"/>
      <c r="H108" s="363"/>
    </row>
    <row r="109" spans="2:8">
      <c r="B109" s="363"/>
      <c r="C109" s="363"/>
      <c r="D109" s="363"/>
      <c r="E109" s="363"/>
      <c r="F109" s="363"/>
      <c r="G109" s="363"/>
      <c r="H109" s="363"/>
    </row>
    <row r="110" spans="2:8">
      <c r="B110" s="363"/>
      <c r="C110" s="363"/>
      <c r="D110" s="363"/>
      <c r="E110" s="363"/>
      <c r="F110" s="363"/>
      <c r="G110" s="363"/>
      <c r="H110" s="363"/>
    </row>
    <row r="111" spans="2:8">
      <c r="B111" s="363"/>
      <c r="C111" s="363"/>
      <c r="D111" s="363"/>
      <c r="E111" s="363"/>
      <c r="F111" s="363"/>
      <c r="G111" s="363"/>
      <c r="H111" s="363"/>
    </row>
    <row r="112" spans="2:8">
      <c r="B112" s="363"/>
      <c r="C112" s="363"/>
      <c r="D112" s="363"/>
      <c r="E112" s="363"/>
      <c r="F112" s="363"/>
      <c r="G112" s="363"/>
      <c r="H112" s="363"/>
    </row>
    <row r="113" spans="2:8">
      <c r="B113" s="363"/>
      <c r="C113" s="363"/>
      <c r="D113" s="363"/>
      <c r="E113" s="363"/>
      <c r="F113" s="363"/>
      <c r="G113" s="363"/>
      <c r="H113" s="363"/>
    </row>
    <row r="114" spans="2:8">
      <c r="B114" s="363"/>
      <c r="C114" s="363"/>
      <c r="D114" s="363"/>
      <c r="E114" s="363"/>
      <c r="F114" s="363"/>
      <c r="G114" s="363"/>
      <c r="H114" s="363"/>
    </row>
    <row r="115" spans="2:8">
      <c r="B115" s="363"/>
      <c r="C115" s="363"/>
      <c r="D115" s="363"/>
      <c r="E115" s="363"/>
      <c r="F115" s="363"/>
      <c r="G115" s="363"/>
      <c r="H115" s="363"/>
    </row>
    <row r="116" spans="2:8">
      <c r="B116" s="363"/>
      <c r="C116" s="363"/>
      <c r="D116" s="363"/>
      <c r="E116" s="363"/>
      <c r="F116" s="363"/>
      <c r="G116" s="363"/>
      <c r="H116" s="363"/>
    </row>
    <row r="117" spans="2:8">
      <c r="B117" s="363"/>
      <c r="C117" s="363"/>
      <c r="D117" s="363"/>
      <c r="E117" s="363"/>
      <c r="F117" s="363"/>
      <c r="G117" s="363"/>
      <c r="H117" s="363"/>
    </row>
    <row r="118" spans="2:8">
      <c r="B118" s="363"/>
      <c r="C118" s="363"/>
      <c r="D118" s="363"/>
      <c r="E118" s="363"/>
      <c r="F118" s="363"/>
      <c r="G118" s="363"/>
      <c r="H118" s="363"/>
    </row>
    <row r="119" spans="2:8">
      <c r="B119" s="363"/>
      <c r="C119" s="363"/>
      <c r="D119" s="363"/>
      <c r="E119" s="363"/>
      <c r="F119" s="363"/>
      <c r="G119" s="363"/>
      <c r="H119" s="363"/>
    </row>
    <row r="120" spans="2:8">
      <c r="B120" s="363"/>
      <c r="C120" s="363"/>
      <c r="D120" s="363"/>
      <c r="E120" s="363"/>
      <c r="F120" s="363"/>
      <c r="G120" s="363"/>
      <c r="H120" s="363"/>
    </row>
    <row r="121" spans="2:8">
      <c r="B121" s="363"/>
      <c r="C121" s="363"/>
      <c r="D121" s="363"/>
      <c r="E121" s="363"/>
      <c r="F121" s="363"/>
      <c r="G121" s="363"/>
      <c r="H121" s="363"/>
    </row>
    <row r="122" spans="2:8">
      <c r="B122" s="363"/>
      <c r="C122" s="363"/>
      <c r="D122" s="363"/>
      <c r="E122" s="363"/>
      <c r="F122" s="363"/>
      <c r="G122" s="363"/>
      <c r="H122" s="363"/>
    </row>
    <row r="123" spans="2:8">
      <c r="B123" s="363"/>
      <c r="C123" s="363"/>
      <c r="D123" s="363"/>
      <c r="E123" s="363"/>
      <c r="F123" s="363"/>
      <c r="G123" s="363"/>
      <c r="H123" s="363"/>
    </row>
    <row r="124" spans="2:8">
      <c r="B124" s="363"/>
      <c r="C124" s="363"/>
      <c r="D124" s="363"/>
      <c r="E124" s="363"/>
      <c r="F124" s="363"/>
      <c r="G124" s="363"/>
      <c r="H124" s="363"/>
    </row>
    <row r="125" spans="2:8">
      <c r="B125" s="363"/>
      <c r="C125" s="363"/>
      <c r="D125" s="363"/>
      <c r="E125" s="363"/>
      <c r="F125" s="363"/>
      <c r="G125" s="363"/>
      <c r="H125" s="363"/>
    </row>
    <row r="126" spans="2:8">
      <c r="B126" s="363"/>
      <c r="C126" s="363"/>
      <c r="D126" s="363"/>
      <c r="E126" s="363"/>
      <c r="F126" s="363"/>
      <c r="G126" s="363"/>
      <c r="H126" s="363"/>
    </row>
    <row r="127" spans="2:8">
      <c r="B127" s="363"/>
      <c r="C127" s="363"/>
      <c r="D127" s="363"/>
      <c r="E127" s="363"/>
      <c r="F127" s="363"/>
      <c r="G127" s="363"/>
      <c r="H127" s="363"/>
    </row>
    <row r="128" spans="2:8">
      <c r="B128" s="363"/>
      <c r="C128" s="363"/>
      <c r="D128" s="363"/>
      <c r="E128" s="363"/>
      <c r="F128" s="363"/>
      <c r="G128" s="363"/>
      <c r="H128" s="363"/>
    </row>
    <row r="129" spans="2:8">
      <c r="B129" s="363"/>
      <c r="C129" s="363"/>
      <c r="D129" s="363"/>
      <c r="E129" s="363"/>
      <c r="F129" s="363"/>
      <c r="G129" s="363"/>
      <c r="H129" s="363"/>
    </row>
    <row r="130" spans="2:8">
      <c r="B130" s="363"/>
      <c r="C130" s="363"/>
      <c r="D130" s="363"/>
      <c r="E130" s="363"/>
      <c r="F130" s="363"/>
      <c r="G130" s="363"/>
      <c r="H130" s="363"/>
    </row>
    <row r="131" spans="2:8">
      <c r="B131" s="363"/>
      <c r="C131" s="363"/>
      <c r="D131" s="363"/>
      <c r="E131" s="363"/>
      <c r="F131" s="363"/>
      <c r="G131" s="363"/>
      <c r="H131" s="363"/>
    </row>
    <row r="132" spans="2:8">
      <c r="B132" s="363"/>
      <c r="C132" s="363"/>
      <c r="D132" s="363"/>
      <c r="E132" s="363"/>
      <c r="F132" s="363"/>
      <c r="G132" s="363"/>
      <c r="H132" s="363"/>
    </row>
    <row r="133" spans="2:8">
      <c r="B133" s="363"/>
      <c r="C133" s="363"/>
      <c r="D133" s="363"/>
      <c r="E133" s="363"/>
      <c r="F133" s="363"/>
      <c r="G133" s="363"/>
      <c r="H133" s="363"/>
    </row>
    <row r="134" spans="2:8">
      <c r="B134" s="363"/>
      <c r="C134" s="363"/>
      <c r="D134" s="363"/>
      <c r="E134" s="363"/>
      <c r="F134" s="363"/>
      <c r="G134" s="363"/>
      <c r="H134" s="363"/>
    </row>
    <row r="135" spans="2:8">
      <c r="B135" s="363"/>
      <c r="C135" s="363"/>
      <c r="D135" s="363"/>
      <c r="E135" s="363"/>
      <c r="F135" s="363"/>
      <c r="G135" s="363"/>
      <c r="H135" s="363"/>
    </row>
    <row r="136" spans="2:8">
      <c r="B136" s="363"/>
      <c r="C136" s="363"/>
      <c r="D136" s="363"/>
      <c r="E136" s="363"/>
      <c r="F136" s="363"/>
      <c r="G136" s="363"/>
      <c r="H136" s="363"/>
    </row>
    <row r="137" spans="2:8">
      <c r="B137" s="363"/>
      <c r="C137" s="363"/>
      <c r="D137" s="363"/>
      <c r="E137" s="363"/>
      <c r="F137" s="363"/>
      <c r="G137" s="363"/>
      <c r="H137" s="363"/>
    </row>
    <row r="138" spans="2:8">
      <c r="B138" s="363"/>
      <c r="C138" s="363"/>
      <c r="D138" s="363"/>
      <c r="E138" s="363"/>
      <c r="F138" s="363"/>
      <c r="G138" s="363"/>
      <c r="H138" s="363"/>
    </row>
    <row r="139" spans="2:8">
      <c r="B139" s="363"/>
      <c r="C139" s="363"/>
      <c r="D139" s="363"/>
      <c r="E139" s="363"/>
      <c r="F139" s="363"/>
      <c r="G139" s="363"/>
      <c r="H139" s="363"/>
    </row>
    <row r="140" spans="2:8">
      <c r="B140" s="363"/>
      <c r="C140" s="363"/>
      <c r="D140" s="363"/>
      <c r="E140" s="363"/>
      <c r="F140" s="363"/>
      <c r="G140" s="363"/>
      <c r="H140" s="363"/>
    </row>
    <row r="141" spans="2:8">
      <c r="B141" s="363"/>
      <c r="C141" s="363"/>
      <c r="D141" s="363"/>
      <c r="E141" s="363"/>
      <c r="F141" s="363"/>
      <c r="G141" s="363"/>
      <c r="H141" s="363"/>
    </row>
    <row r="142" spans="2:8">
      <c r="B142" s="363"/>
      <c r="C142" s="363"/>
      <c r="D142" s="363"/>
      <c r="E142" s="363"/>
      <c r="F142" s="363"/>
      <c r="G142" s="363"/>
      <c r="H142" s="363"/>
    </row>
    <row r="143" spans="2:8">
      <c r="B143" s="363"/>
      <c r="C143" s="363"/>
      <c r="D143" s="363"/>
      <c r="E143" s="363"/>
      <c r="F143" s="363"/>
      <c r="G143" s="363"/>
      <c r="H143" s="363"/>
    </row>
    <row r="144" spans="2:8">
      <c r="B144" s="363"/>
      <c r="C144" s="363"/>
      <c r="D144" s="363"/>
      <c r="E144" s="363"/>
      <c r="F144" s="363"/>
      <c r="G144" s="363"/>
      <c r="H144" s="363"/>
    </row>
    <row r="145" spans="2:8">
      <c r="B145" s="363"/>
      <c r="C145" s="363"/>
      <c r="D145" s="363"/>
      <c r="E145" s="363"/>
      <c r="F145" s="363"/>
      <c r="G145" s="363"/>
      <c r="H145" s="363"/>
    </row>
    <row r="146" spans="2:8">
      <c r="B146" s="363"/>
      <c r="C146" s="363"/>
      <c r="D146" s="363"/>
      <c r="E146" s="363"/>
      <c r="F146" s="363"/>
      <c r="G146" s="363"/>
      <c r="H146" s="363"/>
    </row>
    <row r="147" spans="2:8">
      <c r="B147" s="363"/>
      <c r="C147" s="363"/>
      <c r="D147" s="363"/>
      <c r="E147" s="363"/>
      <c r="F147" s="363"/>
      <c r="G147" s="363"/>
      <c r="H147" s="363"/>
    </row>
    <row r="148" spans="2:8">
      <c r="B148" s="363"/>
      <c r="C148" s="363"/>
      <c r="D148" s="363"/>
      <c r="E148" s="363"/>
      <c r="F148" s="363"/>
      <c r="G148" s="363"/>
      <c r="H148" s="363"/>
    </row>
    <row r="149" spans="2:8">
      <c r="B149" s="363"/>
      <c r="C149" s="363"/>
      <c r="D149" s="363"/>
      <c r="E149" s="363"/>
      <c r="F149" s="363"/>
      <c r="G149" s="363"/>
      <c r="H149" s="363"/>
    </row>
    <row r="150" spans="2:8">
      <c r="B150" s="363"/>
      <c r="C150" s="363"/>
      <c r="D150" s="363"/>
      <c r="E150" s="363"/>
      <c r="F150" s="363"/>
      <c r="G150" s="363"/>
      <c r="H150" s="363"/>
    </row>
    <row r="151" spans="2:8">
      <c r="B151" s="363"/>
      <c r="C151" s="363"/>
      <c r="D151" s="363"/>
      <c r="E151" s="363"/>
      <c r="F151" s="363"/>
      <c r="G151" s="363"/>
      <c r="H151" s="363"/>
    </row>
    <row r="152" spans="2:8">
      <c r="B152" s="363"/>
      <c r="C152" s="363"/>
      <c r="D152" s="363"/>
      <c r="E152" s="363"/>
      <c r="F152" s="363"/>
      <c r="G152" s="363"/>
      <c r="H152" s="363"/>
    </row>
    <row r="153" spans="2:8">
      <c r="B153" s="363"/>
      <c r="C153" s="363"/>
      <c r="D153" s="363"/>
      <c r="E153" s="363"/>
      <c r="F153" s="363"/>
      <c r="G153" s="363"/>
      <c r="H153" s="363"/>
    </row>
    <row r="154" spans="2:8">
      <c r="B154" s="363"/>
      <c r="C154" s="363"/>
      <c r="D154" s="363"/>
      <c r="E154" s="363"/>
      <c r="F154" s="363"/>
      <c r="G154" s="363"/>
      <c r="H154" s="363"/>
    </row>
    <row r="155" spans="2:8">
      <c r="B155" s="363"/>
      <c r="C155" s="363"/>
      <c r="D155" s="363"/>
      <c r="E155" s="363"/>
      <c r="F155" s="363"/>
      <c r="G155" s="363"/>
      <c r="H155" s="363"/>
    </row>
    <row r="156" spans="2:8">
      <c r="B156" s="363"/>
      <c r="C156" s="363"/>
      <c r="D156" s="363"/>
      <c r="E156" s="363"/>
      <c r="F156" s="363"/>
      <c r="G156" s="363"/>
      <c r="H156" s="363"/>
    </row>
    <row r="157" spans="2:8">
      <c r="B157" s="363"/>
      <c r="C157" s="363"/>
      <c r="D157" s="363"/>
      <c r="E157" s="363"/>
      <c r="F157" s="363"/>
      <c r="G157" s="363"/>
      <c r="H157" s="363"/>
    </row>
    <row r="158" spans="2:8">
      <c r="B158" s="363"/>
      <c r="C158" s="363"/>
      <c r="D158" s="363"/>
      <c r="E158" s="363"/>
      <c r="F158" s="363"/>
      <c r="G158" s="363"/>
      <c r="H158" s="363"/>
    </row>
    <row r="159" spans="2:8">
      <c r="B159" s="363"/>
      <c r="C159" s="363"/>
      <c r="D159" s="363"/>
      <c r="E159" s="363"/>
      <c r="F159" s="363"/>
      <c r="G159" s="363"/>
      <c r="H159" s="363"/>
    </row>
    <row r="160" spans="2:8">
      <c r="B160" s="363"/>
      <c r="C160" s="363"/>
      <c r="D160" s="363"/>
      <c r="E160" s="363"/>
      <c r="F160" s="363"/>
      <c r="G160" s="363"/>
      <c r="H160" s="363"/>
    </row>
    <row r="161" spans="2:8">
      <c r="B161" s="363"/>
      <c r="C161" s="363"/>
      <c r="D161" s="363"/>
      <c r="E161" s="363"/>
      <c r="F161" s="363"/>
      <c r="G161" s="363"/>
      <c r="H161" s="363"/>
    </row>
    <row r="162" spans="2:8">
      <c r="B162" s="363"/>
      <c r="C162" s="363"/>
      <c r="D162" s="363"/>
      <c r="E162" s="363"/>
      <c r="F162" s="363"/>
      <c r="G162" s="363"/>
      <c r="H162" s="363"/>
    </row>
    <row r="163" spans="2:8">
      <c r="B163" s="363"/>
      <c r="C163" s="363"/>
      <c r="D163" s="363"/>
      <c r="E163" s="363"/>
      <c r="F163" s="363"/>
      <c r="G163" s="363"/>
      <c r="H163" s="363"/>
    </row>
    <row r="164" spans="2:8">
      <c r="B164" s="363"/>
      <c r="C164" s="363"/>
      <c r="D164" s="363"/>
      <c r="E164" s="363"/>
      <c r="F164" s="363"/>
      <c r="G164" s="363"/>
      <c r="H164" s="363"/>
    </row>
    <row r="165" spans="2:8">
      <c r="B165" s="363"/>
      <c r="C165" s="363"/>
      <c r="D165" s="363"/>
      <c r="E165" s="363"/>
      <c r="F165" s="363"/>
      <c r="G165" s="363"/>
      <c r="H165" s="363"/>
    </row>
    <row r="166" spans="2:8">
      <c r="B166" s="363"/>
      <c r="C166" s="363"/>
      <c r="D166" s="363"/>
      <c r="E166" s="363"/>
      <c r="F166" s="363"/>
      <c r="G166" s="363"/>
      <c r="H166" s="363"/>
    </row>
    <row r="167" spans="2:8">
      <c r="B167" s="363"/>
      <c r="C167" s="363"/>
      <c r="D167" s="363"/>
      <c r="E167" s="363"/>
      <c r="F167" s="363"/>
      <c r="G167" s="363"/>
      <c r="H167" s="363"/>
    </row>
    <row r="168" spans="2:8">
      <c r="B168" s="363"/>
      <c r="C168" s="363"/>
      <c r="D168" s="363"/>
      <c r="E168" s="363"/>
      <c r="F168" s="363"/>
      <c r="G168" s="363"/>
      <c r="H168" s="363"/>
    </row>
    <row r="169" spans="2:8">
      <c r="B169" s="363"/>
      <c r="C169" s="363"/>
      <c r="D169" s="363"/>
      <c r="E169" s="363"/>
      <c r="F169" s="363"/>
      <c r="G169" s="363"/>
      <c r="H169" s="363"/>
    </row>
    <row r="170" spans="2:8">
      <c r="B170" s="363"/>
      <c r="C170" s="363"/>
      <c r="D170" s="363"/>
      <c r="E170" s="363"/>
      <c r="F170" s="363"/>
      <c r="G170" s="363"/>
      <c r="H170" s="363"/>
    </row>
    <row r="171" spans="2:8">
      <c r="B171" s="363"/>
      <c r="C171" s="363"/>
      <c r="D171" s="363"/>
      <c r="E171" s="363"/>
      <c r="F171" s="363"/>
      <c r="G171" s="363"/>
      <c r="H171" s="363"/>
    </row>
    <row r="172" spans="2:8">
      <c r="B172" s="363"/>
      <c r="C172" s="363"/>
      <c r="D172" s="363"/>
      <c r="E172" s="363"/>
      <c r="F172" s="363"/>
      <c r="G172" s="363"/>
      <c r="H172" s="363"/>
    </row>
    <row r="173" spans="2:8">
      <c r="B173" s="363"/>
      <c r="C173" s="363"/>
      <c r="D173" s="363"/>
      <c r="E173" s="363"/>
      <c r="F173" s="363"/>
      <c r="G173" s="363"/>
      <c r="H173" s="363"/>
    </row>
    <row r="174" spans="2:8">
      <c r="B174" s="363"/>
      <c r="C174" s="363"/>
      <c r="D174" s="363"/>
      <c r="E174" s="363"/>
      <c r="F174" s="363"/>
      <c r="G174" s="363"/>
      <c r="H174" s="363"/>
    </row>
    <row r="175" spans="2:8">
      <c r="B175" s="363"/>
      <c r="C175" s="363"/>
      <c r="D175" s="363"/>
      <c r="E175" s="363"/>
      <c r="F175" s="363"/>
      <c r="G175" s="363"/>
      <c r="H175" s="363"/>
    </row>
    <row r="176" spans="2:8">
      <c r="B176" s="363"/>
      <c r="C176" s="363"/>
      <c r="D176" s="363"/>
      <c r="E176" s="363"/>
      <c r="F176" s="363"/>
      <c r="G176" s="363"/>
      <c r="H176" s="363"/>
    </row>
    <row r="177" spans="2:8">
      <c r="B177" s="363"/>
      <c r="C177" s="363"/>
      <c r="D177" s="363"/>
      <c r="E177" s="363"/>
      <c r="F177" s="363"/>
      <c r="G177" s="363"/>
      <c r="H177" s="363"/>
    </row>
    <row r="178" spans="2:8">
      <c r="B178" s="363"/>
      <c r="C178" s="363"/>
      <c r="D178" s="363"/>
      <c r="E178" s="363"/>
      <c r="F178" s="363"/>
      <c r="G178" s="363"/>
      <c r="H178" s="363"/>
    </row>
    <row r="179" spans="2:8">
      <c r="B179" s="363"/>
      <c r="C179" s="363"/>
      <c r="D179" s="363"/>
      <c r="E179" s="363"/>
      <c r="F179" s="363"/>
      <c r="G179" s="363"/>
      <c r="H179" s="363"/>
    </row>
    <row r="180" spans="2:8">
      <c r="B180" s="363"/>
      <c r="C180" s="363"/>
      <c r="D180" s="363"/>
      <c r="E180" s="363"/>
      <c r="F180" s="363"/>
      <c r="G180" s="363"/>
      <c r="H180" s="363"/>
    </row>
    <row r="181" spans="2:8">
      <c r="B181" s="363"/>
      <c r="C181" s="363"/>
      <c r="D181" s="363"/>
      <c r="E181" s="363"/>
      <c r="F181" s="363"/>
      <c r="G181" s="363"/>
      <c r="H181" s="363"/>
    </row>
    <row r="182" spans="2:8">
      <c r="B182" s="363"/>
      <c r="C182" s="363"/>
      <c r="D182" s="363"/>
      <c r="E182" s="363"/>
      <c r="F182" s="363"/>
      <c r="G182" s="363"/>
      <c r="H182" s="363"/>
    </row>
    <row r="183" spans="2:8">
      <c r="B183" s="363"/>
      <c r="C183" s="363"/>
      <c r="D183" s="363"/>
      <c r="E183" s="363"/>
      <c r="F183" s="363"/>
      <c r="G183" s="363"/>
      <c r="H183" s="363"/>
    </row>
    <row r="184" spans="2:8">
      <c r="B184" s="363"/>
      <c r="C184" s="363"/>
      <c r="D184" s="363"/>
      <c r="E184" s="363"/>
      <c r="F184" s="363"/>
      <c r="G184" s="363"/>
      <c r="H184" s="363"/>
    </row>
    <row r="185" spans="2:8">
      <c r="B185" s="363"/>
      <c r="C185" s="363"/>
      <c r="D185" s="363"/>
      <c r="E185" s="363"/>
      <c r="F185" s="363"/>
      <c r="G185" s="363"/>
      <c r="H185" s="363"/>
    </row>
    <row r="186" spans="2:8">
      <c r="B186" s="363"/>
      <c r="C186" s="363"/>
      <c r="D186" s="363"/>
      <c r="E186" s="363"/>
      <c r="F186" s="363"/>
      <c r="G186" s="363"/>
      <c r="H186" s="363"/>
    </row>
    <row r="187" spans="2:8">
      <c r="B187" s="363"/>
      <c r="C187" s="363"/>
      <c r="D187" s="363"/>
      <c r="E187" s="363"/>
      <c r="F187" s="363"/>
      <c r="G187" s="363"/>
      <c r="H187" s="363"/>
    </row>
    <row r="188" spans="2:8">
      <c r="B188" s="363"/>
      <c r="C188" s="363"/>
      <c r="D188" s="363"/>
      <c r="E188" s="363"/>
      <c r="F188" s="363"/>
      <c r="G188" s="363"/>
      <c r="H188" s="363"/>
    </row>
    <row r="189" spans="2:8">
      <c r="B189" s="363"/>
      <c r="C189" s="363"/>
      <c r="D189" s="363"/>
      <c r="E189" s="363"/>
      <c r="F189" s="363"/>
      <c r="G189" s="363"/>
      <c r="H189" s="363"/>
    </row>
    <row r="190" spans="2:8">
      <c r="B190" s="363"/>
      <c r="C190" s="363"/>
      <c r="D190" s="363"/>
      <c r="E190" s="363"/>
      <c r="F190" s="363"/>
      <c r="G190" s="363"/>
      <c r="H190" s="363"/>
    </row>
    <row r="191" spans="2:8">
      <c r="B191" s="363"/>
      <c r="C191" s="363"/>
      <c r="D191" s="363"/>
      <c r="E191" s="363"/>
      <c r="F191" s="363"/>
      <c r="G191" s="363"/>
      <c r="H191" s="363"/>
    </row>
    <row r="192" spans="2:8">
      <c r="B192" s="363"/>
      <c r="C192" s="363"/>
      <c r="D192" s="363"/>
      <c r="E192" s="363"/>
      <c r="F192" s="363"/>
      <c r="G192" s="363"/>
      <c r="H192" s="363"/>
    </row>
    <row r="193" spans="2:8">
      <c r="B193" s="363"/>
      <c r="C193" s="363"/>
      <c r="D193" s="363"/>
      <c r="E193" s="363"/>
      <c r="F193" s="363"/>
      <c r="G193" s="363"/>
      <c r="H193" s="363"/>
    </row>
    <row r="194" spans="2:8">
      <c r="B194" s="363"/>
      <c r="C194" s="363"/>
      <c r="D194" s="363"/>
      <c r="E194" s="363"/>
      <c r="F194" s="363"/>
      <c r="G194" s="363"/>
      <c r="H194" s="363"/>
    </row>
    <row r="195" spans="2:8">
      <c r="B195" s="363"/>
      <c r="C195" s="363"/>
      <c r="D195" s="363"/>
      <c r="E195" s="363"/>
      <c r="F195" s="363"/>
      <c r="G195" s="363"/>
      <c r="H195" s="363"/>
    </row>
    <row r="196" spans="2:8">
      <c r="B196" s="363"/>
      <c r="C196" s="363"/>
      <c r="D196" s="363"/>
      <c r="E196" s="363"/>
      <c r="F196" s="363"/>
      <c r="G196" s="363"/>
      <c r="H196" s="363"/>
    </row>
    <row r="197" spans="2:8">
      <c r="B197" s="363"/>
      <c r="C197" s="363"/>
      <c r="D197" s="363"/>
      <c r="E197" s="363"/>
      <c r="F197" s="363"/>
      <c r="G197" s="363"/>
      <c r="H197" s="363"/>
    </row>
    <row r="198" spans="2:8">
      <c r="B198" s="363"/>
      <c r="C198" s="363"/>
      <c r="D198" s="363"/>
      <c r="E198" s="363"/>
      <c r="F198" s="363"/>
      <c r="G198" s="363"/>
      <c r="H198" s="363"/>
    </row>
    <row r="199" spans="2:8">
      <c r="B199" s="363"/>
      <c r="C199" s="363"/>
      <c r="D199" s="363"/>
      <c r="E199" s="363"/>
      <c r="F199" s="363"/>
      <c r="G199" s="363"/>
      <c r="H199" s="363"/>
    </row>
    <row r="200" spans="2:8">
      <c r="B200" s="363"/>
      <c r="C200" s="363"/>
      <c r="D200" s="363"/>
      <c r="E200" s="363"/>
      <c r="F200" s="363"/>
      <c r="G200" s="363"/>
      <c r="H200" s="363"/>
    </row>
  </sheetData>
  <sheetProtection algorithmName="SHA-512" hashValue="ctNB+fDvjp1SYK+z5OC3aXw8/RQV/nhtflLCYhqV39HT8yBaMExO+OrNaa7OxphhGs/iczoI0vaeLm++1nD/mw==" saltValue="0TQUiQ2dzlv6PKkK5veOtg==" spinCount="100000" sheet="1" objects="1" scenarios="1"/>
  <mergeCells count="9">
    <mergeCell ref="D14:E14"/>
    <mergeCell ref="D15:E15"/>
    <mergeCell ref="D16:E16"/>
    <mergeCell ref="B2:G2"/>
    <mergeCell ref="B1:H1"/>
    <mergeCell ref="B10:H11"/>
    <mergeCell ref="B4:C4"/>
    <mergeCell ref="D12:E12"/>
    <mergeCell ref="D13:E13"/>
  </mergeCells>
  <dataValidations count="1">
    <dataValidation type="list" allowBlank="1" showInputMessage="1" showErrorMessage="1" sqref="H13:H15" xr:uid="{F778B0AB-0700-48FB-B0C3-65F0E28F0A3F}">
      <formula1>"Yes,No"</formula1>
    </dataValidation>
  </dataValidations>
  <pageMargins left="0.7" right="0.7" top="0.75" bottom="0.75" header="0.3" footer="0.3"/>
  <pageSetup paperSize="9" orientation="portrait" verticalDpi="598"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2EF2919-1F97-4FFF-822D-C1A2307DE21D}">
          <x14:formula1>
            <xm:f>Lists!$L$3:$L$7</xm:f>
          </x14:formula1>
          <xm:sqref>B13:B15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DA94F-8899-4E61-836C-3F96BABEFAD7}">
  <sheetPr>
    <tabColor theme="7" tint="0.79998168889431442"/>
  </sheetPr>
  <dimension ref="F17:CE173"/>
  <sheetViews>
    <sheetView showGridLines="0" zoomScaleNormal="100" workbookViewId="0">
      <selection activeCell="BD10" sqref="BD10"/>
    </sheetView>
  </sheetViews>
  <sheetFormatPr defaultRowHeight="12.75"/>
  <cols>
    <col min="1" max="3" width="0.85546875" customWidth="1"/>
    <col min="4" max="99" width="3.140625" customWidth="1"/>
  </cols>
  <sheetData>
    <row r="17" spans="8:69" ht="4.5" customHeight="1"/>
    <row r="18" spans="8:69" ht="4.5" customHeight="1"/>
    <row r="19" spans="8:69" ht="4.5" customHeight="1"/>
    <row r="20" spans="8:69" ht="4.5" customHeight="1"/>
    <row r="21" spans="8:69" ht="4.5" customHeight="1"/>
    <row r="22" spans="8:69" s="16" customFormat="1" ht="18">
      <c r="O22" s="252" t="s">
        <v>237</v>
      </c>
      <c r="AR22" s="253" t="s">
        <v>238</v>
      </c>
      <c r="BQ22" s="254" t="s">
        <v>240</v>
      </c>
    </row>
    <row r="24" spans="8:69">
      <c r="Y24" s="224"/>
      <c r="BC24" s="224"/>
    </row>
    <row r="25" spans="8:69" ht="13.5" thickBot="1">
      <c r="Y25" s="224"/>
      <c r="BC25" s="224"/>
    </row>
    <row r="26" spans="8:69">
      <c r="H26" s="221"/>
      <c r="I26" s="162"/>
      <c r="J26" s="162"/>
      <c r="K26" s="163"/>
      <c r="L26" s="221"/>
      <c r="M26" s="162"/>
      <c r="N26" s="162"/>
      <c r="O26" s="162"/>
      <c r="P26" s="162"/>
      <c r="Q26" s="162"/>
      <c r="R26" s="162"/>
      <c r="S26" s="162"/>
      <c r="T26" s="162"/>
      <c r="U26" s="162"/>
      <c r="V26" s="162"/>
      <c r="W26" s="162"/>
      <c r="X26" s="163"/>
      <c r="Y26" s="224"/>
      <c r="AL26" s="221"/>
      <c r="AM26" s="162"/>
      <c r="AN26" s="162"/>
      <c r="AO26" s="163"/>
      <c r="AP26" s="221"/>
      <c r="AQ26" s="162"/>
      <c r="AR26" s="162"/>
      <c r="AS26" s="162"/>
      <c r="AT26" s="162"/>
      <c r="AU26" s="162"/>
      <c r="AV26" s="162"/>
      <c r="AW26" s="162"/>
      <c r="AX26" s="162"/>
      <c r="AY26" s="162"/>
      <c r="AZ26" s="162"/>
      <c r="BA26" s="162"/>
      <c r="BB26" s="163"/>
      <c r="BC26" s="224"/>
    </row>
    <row r="27" spans="8:69">
      <c r="H27" s="164"/>
      <c r="K27" s="165"/>
      <c r="L27" s="164"/>
      <c r="M27" s="111" t="s">
        <v>254</v>
      </c>
      <c r="N27" s="112"/>
      <c r="X27" s="165"/>
      <c r="Y27" s="224"/>
      <c r="AL27" s="164"/>
      <c r="AO27" s="165"/>
      <c r="AP27" s="164"/>
      <c r="AQ27" s="431" t="s">
        <v>233</v>
      </c>
      <c r="AR27" s="432"/>
      <c r="AS27" s="432"/>
      <c r="AT27" s="432"/>
      <c r="AU27" s="432"/>
      <c r="BB27" s="165"/>
      <c r="BC27" s="224"/>
    </row>
    <row r="28" spans="8:69">
      <c r="H28" s="164"/>
      <c r="K28" s="165"/>
      <c r="L28" s="164"/>
      <c r="X28" s="165"/>
      <c r="Y28" s="224"/>
      <c r="AL28" s="164"/>
      <c r="AO28" s="165"/>
      <c r="AP28" s="164"/>
      <c r="AQ28" s="432"/>
      <c r="AR28" s="432"/>
      <c r="AS28" s="432"/>
      <c r="AT28" s="432"/>
      <c r="AU28" s="432"/>
      <c r="BB28" s="165"/>
      <c r="BC28" s="224"/>
    </row>
    <row r="29" spans="8:69">
      <c r="H29" s="164"/>
      <c r="K29" s="165"/>
      <c r="L29" s="164"/>
      <c r="X29" s="165"/>
      <c r="Y29" s="224"/>
      <c r="AL29" s="164"/>
      <c r="AO29" s="165"/>
      <c r="AP29" s="164"/>
      <c r="BB29" s="165"/>
      <c r="BC29" s="224"/>
    </row>
    <row r="30" spans="8:69">
      <c r="H30" s="227"/>
      <c r="I30" s="21" t="s">
        <v>239</v>
      </c>
      <c r="J30" s="21"/>
      <c r="K30" s="165"/>
      <c r="L30" s="164"/>
      <c r="Q30" s="33" t="s">
        <v>29</v>
      </c>
      <c r="X30" s="165"/>
      <c r="Y30" s="224"/>
      <c r="AL30" s="227"/>
      <c r="AM30" s="21" t="s">
        <v>239</v>
      </c>
      <c r="AN30" s="21"/>
      <c r="AO30" s="165"/>
      <c r="AP30" s="164"/>
      <c r="AU30" s="33" t="s">
        <v>29</v>
      </c>
      <c r="BB30" s="165"/>
      <c r="BC30" s="224"/>
    </row>
    <row r="31" spans="8:69">
      <c r="H31" s="164"/>
      <c r="J31" s="21"/>
      <c r="K31" s="165"/>
      <c r="L31" s="164"/>
      <c r="P31" s="21" t="s">
        <v>234</v>
      </c>
      <c r="X31" s="165"/>
      <c r="Y31" s="224"/>
      <c r="AL31" s="164"/>
      <c r="AN31" s="21"/>
      <c r="AO31" s="165"/>
      <c r="AP31" s="164"/>
      <c r="AT31" s="21" t="s">
        <v>234</v>
      </c>
      <c r="BB31" s="165"/>
      <c r="BC31" s="224"/>
    </row>
    <row r="32" spans="8:69">
      <c r="H32" s="164"/>
      <c r="K32" s="165"/>
      <c r="L32" s="164"/>
      <c r="X32" s="165"/>
      <c r="Y32" s="224"/>
      <c r="AL32" s="164"/>
      <c r="AO32" s="165"/>
      <c r="AP32" s="164"/>
      <c r="BB32" s="165"/>
      <c r="BC32" s="224"/>
    </row>
    <row r="33" spans="6:59">
      <c r="H33" s="164"/>
      <c r="K33" s="165"/>
      <c r="L33" s="164"/>
      <c r="X33" s="165"/>
      <c r="Y33" s="224"/>
      <c r="AL33" s="164"/>
      <c r="AO33" s="165"/>
      <c r="AP33" s="164"/>
      <c r="AY33" s="21"/>
      <c r="BB33" s="165"/>
      <c r="BC33" s="224"/>
    </row>
    <row r="34" spans="6:59" ht="13.5" thickBot="1">
      <c r="H34" s="166"/>
      <c r="I34" s="167"/>
      <c r="J34" s="167"/>
      <c r="K34" s="229" t="s">
        <v>241</v>
      </c>
      <c r="L34" s="166"/>
      <c r="M34" s="167"/>
      <c r="N34" s="167"/>
      <c r="O34" s="167"/>
      <c r="P34" s="167"/>
      <c r="Q34" s="167"/>
      <c r="R34" s="167"/>
      <c r="S34" s="167"/>
      <c r="T34" s="230" t="s">
        <v>241</v>
      </c>
      <c r="U34" s="167"/>
      <c r="V34" s="167"/>
      <c r="W34" s="167"/>
      <c r="X34" s="168"/>
      <c r="Y34" s="224"/>
      <c r="AL34" s="166"/>
      <c r="AM34" s="167"/>
      <c r="AN34" s="167"/>
      <c r="AO34" s="229" t="s">
        <v>241</v>
      </c>
      <c r="AP34" s="166"/>
      <c r="AQ34" s="167"/>
      <c r="AR34" s="167"/>
      <c r="AS34" s="167"/>
      <c r="AT34" s="167"/>
      <c r="AU34" s="167"/>
      <c r="AV34" s="167"/>
      <c r="AW34" s="167"/>
      <c r="AX34" s="230" t="s">
        <v>241</v>
      </c>
      <c r="AY34" s="167"/>
      <c r="AZ34" s="167"/>
      <c r="BA34" s="167"/>
      <c r="BB34" s="168"/>
      <c r="BC34" s="224"/>
    </row>
    <row r="35" spans="6:59">
      <c r="Z35" s="225"/>
      <c r="AA35" s="226" t="s">
        <v>232</v>
      </c>
      <c r="AB35" s="225"/>
      <c r="AC35" s="225"/>
      <c r="BD35" s="225"/>
      <c r="BE35" s="226" t="s">
        <v>232</v>
      </c>
      <c r="BF35" s="225"/>
      <c r="BG35" s="225"/>
    </row>
    <row r="36" spans="6:59">
      <c r="F36" s="222"/>
      <c r="G36" s="222"/>
      <c r="H36" s="222"/>
      <c r="I36" s="222"/>
      <c r="J36" s="222"/>
      <c r="K36" s="222"/>
      <c r="L36" s="222"/>
      <c r="M36" s="222"/>
      <c r="N36" s="222"/>
      <c r="O36" s="222"/>
      <c r="P36" s="222"/>
      <c r="Q36" s="222"/>
      <c r="R36" s="222"/>
      <c r="S36" s="222"/>
      <c r="T36" s="222"/>
      <c r="U36" s="222"/>
      <c r="V36" s="222"/>
      <c r="W36" s="222"/>
      <c r="X36" s="223"/>
      <c r="Y36" s="224"/>
      <c r="AJ36" s="222"/>
      <c r="AK36" s="222"/>
      <c r="AL36" s="222"/>
      <c r="AM36" s="222"/>
      <c r="AN36" s="222"/>
      <c r="AO36" s="222"/>
      <c r="AP36" s="222"/>
      <c r="AQ36" s="222"/>
      <c r="AR36" s="222"/>
      <c r="AS36" s="222"/>
      <c r="AT36" s="222"/>
      <c r="AU36" s="222"/>
      <c r="AV36" s="222"/>
      <c r="AW36" s="222"/>
      <c r="AX36" s="222"/>
      <c r="AY36" s="222"/>
      <c r="AZ36" s="222"/>
      <c r="BA36" s="222"/>
      <c r="BB36" s="223"/>
      <c r="BC36" s="224"/>
    </row>
    <row r="37" spans="6:59">
      <c r="X37" s="224"/>
      <c r="Y37" s="224"/>
      <c r="AL37" s="21"/>
      <c r="BB37" s="224"/>
      <c r="BC37" s="224"/>
    </row>
    <row r="38" spans="6:59">
      <c r="X38" s="224"/>
      <c r="Y38" s="224"/>
      <c r="AL38" s="228" t="s">
        <v>255</v>
      </c>
      <c r="AO38" s="228"/>
      <c r="BB38" s="224"/>
      <c r="BC38" s="224"/>
    </row>
    <row r="39" spans="6:59">
      <c r="X39" s="224"/>
      <c r="Y39" s="224"/>
      <c r="BB39" s="224"/>
      <c r="BC39" s="224"/>
    </row>
    <row r="40" spans="6:59">
      <c r="X40" s="224"/>
      <c r="Y40" s="224"/>
      <c r="BB40" s="224"/>
      <c r="BC40" s="224"/>
    </row>
    <row r="43" spans="6:59" s="112" customFormat="1"/>
    <row r="44" spans="6:59" s="112" customFormat="1"/>
    <row r="45" spans="6:59" s="112" customFormat="1"/>
    <row r="47" spans="6:59">
      <c r="Y47" s="224"/>
      <c r="BC47" s="224"/>
    </row>
    <row r="48" spans="6:59">
      <c r="Y48" s="224"/>
      <c r="BC48" s="224"/>
    </row>
    <row r="49" spans="6:59" ht="13.5" thickBot="1">
      <c r="Y49" s="224"/>
      <c r="BC49" s="224"/>
    </row>
    <row r="50" spans="6:59">
      <c r="H50" s="221"/>
      <c r="I50" s="162"/>
      <c r="J50" s="162"/>
      <c r="K50" s="163"/>
      <c r="L50" s="221"/>
      <c r="M50" s="162"/>
      <c r="N50" s="162"/>
      <c r="O50" s="162"/>
      <c r="P50" s="162"/>
      <c r="Q50" s="162"/>
      <c r="R50" s="162"/>
      <c r="S50" s="162"/>
      <c r="T50" s="162"/>
      <c r="U50" s="162"/>
      <c r="V50" s="162"/>
      <c r="W50" s="162"/>
      <c r="X50" s="163"/>
      <c r="Y50" s="224"/>
      <c r="AL50" s="221"/>
      <c r="AM50" s="162"/>
      <c r="AN50" s="162"/>
      <c r="AO50" s="163"/>
      <c r="AP50" s="221"/>
      <c r="AQ50" s="162"/>
      <c r="AR50" s="162"/>
      <c r="AS50" s="162"/>
      <c r="AT50" s="162"/>
      <c r="AU50" s="162"/>
      <c r="AV50" s="162"/>
      <c r="AW50" s="162"/>
      <c r="AX50" s="162"/>
      <c r="AY50" s="162"/>
      <c r="AZ50" s="162"/>
      <c r="BA50" s="162"/>
      <c r="BB50" s="163"/>
      <c r="BC50" s="224"/>
    </row>
    <row r="51" spans="6:59">
      <c r="H51" s="164"/>
      <c r="K51" s="165"/>
      <c r="L51" s="164"/>
      <c r="X51" s="165"/>
      <c r="Y51" s="224"/>
      <c r="AL51" s="164"/>
      <c r="AO51" s="165"/>
      <c r="AP51" s="164"/>
      <c r="BB51" s="165"/>
      <c r="BC51" s="224"/>
    </row>
    <row r="52" spans="6:59">
      <c r="H52" s="164"/>
      <c r="K52" s="165"/>
      <c r="L52" s="164"/>
      <c r="X52" s="165"/>
      <c r="Y52" s="224"/>
      <c r="AL52" s="164"/>
      <c r="AO52" s="165"/>
      <c r="AP52" s="164"/>
      <c r="BB52" s="165"/>
      <c r="BC52" s="224"/>
    </row>
    <row r="53" spans="6:59">
      <c r="H53" s="164"/>
      <c r="K53" s="165"/>
      <c r="L53" s="164"/>
      <c r="X53" s="165"/>
      <c r="Y53" s="224"/>
      <c r="AL53" s="164"/>
      <c r="AO53" s="165"/>
      <c r="AP53" s="164"/>
      <c r="BB53" s="165"/>
      <c r="BC53" s="224"/>
    </row>
    <row r="54" spans="6:59">
      <c r="H54" s="227"/>
      <c r="I54" s="21" t="s">
        <v>239</v>
      </c>
      <c r="J54" s="21"/>
      <c r="K54" s="165"/>
      <c r="L54" s="164"/>
      <c r="Q54" s="33" t="s">
        <v>30</v>
      </c>
      <c r="X54" s="165"/>
      <c r="Y54" s="224"/>
      <c r="AL54" s="227"/>
      <c r="AM54" s="21" t="s">
        <v>239</v>
      </c>
      <c r="AN54" s="21"/>
      <c r="AO54" s="165"/>
      <c r="AP54" s="164"/>
      <c r="AU54" s="33" t="s">
        <v>30</v>
      </c>
      <c r="BB54" s="165"/>
      <c r="BC54" s="224"/>
    </row>
    <row r="55" spans="6:59">
      <c r="H55" s="164"/>
      <c r="J55" s="21"/>
      <c r="K55" s="165"/>
      <c r="L55" s="164"/>
      <c r="P55" s="21"/>
      <c r="Q55" s="21" t="s">
        <v>235</v>
      </c>
      <c r="X55" s="165"/>
      <c r="Y55" s="224"/>
      <c r="AL55" s="164"/>
      <c r="AN55" s="21"/>
      <c r="AO55" s="165"/>
      <c r="AP55" s="164"/>
      <c r="AU55" s="21" t="s">
        <v>236</v>
      </c>
      <c r="BB55" s="165"/>
      <c r="BC55" s="224"/>
    </row>
    <row r="56" spans="6:59">
      <c r="H56" s="164"/>
      <c r="K56" s="165"/>
      <c r="L56" s="164"/>
      <c r="X56" s="165"/>
      <c r="Y56" s="224"/>
      <c r="AL56" s="164"/>
      <c r="AO56" s="165"/>
      <c r="AP56" s="164"/>
      <c r="BB56" s="165"/>
      <c r="BC56" s="224"/>
    </row>
    <row r="57" spans="6:59">
      <c r="H57" s="164"/>
      <c r="K57" s="165"/>
      <c r="L57" s="164"/>
      <c r="X57" s="165"/>
      <c r="Y57" s="224"/>
      <c r="AL57" s="164"/>
      <c r="AO57" s="165"/>
      <c r="AP57" s="164"/>
      <c r="BB57" s="165"/>
      <c r="BC57" s="224"/>
    </row>
    <row r="58" spans="6:59" ht="13.5" thickBot="1">
      <c r="H58" s="166"/>
      <c r="I58" s="167"/>
      <c r="J58" s="167"/>
      <c r="K58" s="229" t="s">
        <v>241</v>
      </c>
      <c r="L58" s="166"/>
      <c r="M58" s="167"/>
      <c r="N58" s="167"/>
      <c r="O58" s="167"/>
      <c r="P58" s="167"/>
      <c r="Q58" s="167"/>
      <c r="R58" s="167"/>
      <c r="S58" s="167"/>
      <c r="T58" s="230" t="s">
        <v>241</v>
      </c>
      <c r="U58" s="167"/>
      <c r="V58" s="167"/>
      <c r="W58" s="167"/>
      <c r="X58" s="168"/>
      <c r="Y58" s="224"/>
      <c r="AL58" s="166"/>
      <c r="AM58" s="167"/>
      <c r="AN58" s="167"/>
      <c r="AO58" s="229" t="s">
        <v>241</v>
      </c>
      <c r="AP58" s="166"/>
      <c r="AQ58" s="167"/>
      <c r="AR58" s="167"/>
      <c r="AS58" s="167"/>
      <c r="AT58" s="167"/>
      <c r="AU58" s="167"/>
      <c r="AV58" s="167"/>
      <c r="AW58" s="167"/>
      <c r="AX58" s="230" t="s">
        <v>241</v>
      </c>
      <c r="AY58" s="167"/>
      <c r="AZ58" s="167"/>
      <c r="BA58" s="167"/>
      <c r="BB58" s="168"/>
      <c r="BC58" s="224"/>
    </row>
    <row r="59" spans="6:59">
      <c r="Z59" s="225"/>
      <c r="AA59" s="226" t="s">
        <v>232</v>
      </c>
      <c r="AB59" s="225"/>
      <c r="AC59" s="225"/>
      <c r="BD59" s="225"/>
      <c r="BE59" s="226" t="s">
        <v>232</v>
      </c>
      <c r="BF59" s="225"/>
      <c r="BG59" s="225"/>
    </row>
    <row r="60" spans="6:59">
      <c r="F60" s="222"/>
      <c r="G60" s="222"/>
      <c r="H60" s="222"/>
      <c r="I60" s="222"/>
      <c r="J60" s="222"/>
      <c r="K60" s="222"/>
      <c r="L60" s="222"/>
      <c r="M60" s="222"/>
      <c r="N60" s="222"/>
      <c r="O60" s="222"/>
      <c r="P60" s="222"/>
      <c r="Q60" s="222"/>
      <c r="R60" s="222"/>
      <c r="S60" s="222"/>
      <c r="T60" s="222"/>
      <c r="U60" s="222"/>
      <c r="V60" s="222"/>
      <c r="W60" s="222"/>
      <c r="X60" s="223"/>
      <c r="Y60" s="224"/>
      <c r="AJ60" s="222"/>
      <c r="AK60" s="222"/>
      <c r="AL60" s="222"/>
      <c r="AM60" s="222"/>
      <c r="AN60" s="222"/>
      <c r="AO60" s="222"/>
      <c r="AP60" s="222"/>
      <c r="AQ60" s="222"/>
      <c r="AR60" s="222"/>
      <c r="AS60" s="222"/>
      <c r="AT60" s="222"/>
      <c r="AU60" s="222"/>
      <c r="AV60" s="222"/>
      <c r="AW60" s="222"/>
      <c r="AX60" s="222"/>
      <c r="AY60" s="222"/>
      <c r="AZ60" s="222"/>
      <c r="BA60" s="222"/>
      <c r="BB60" s="223"/>
      <c r="BC60" s="224"/>
    </row>
    <row r="61" spans="6:59">
      <c r="X61" s="224"/>
      <c r="Y61" s="224"/>
      <c r="BB61" s="224"/>
      <c r="BC61" s="224"/>
    </row>
    <row r="62" spans="6:59">
      <c r="X62" s="224"/>
      <c r="Y62" s="224"/>
      <c r="BB62" s="224"/>
      <c r="BC62" s="224"/>
    </row>
    <row r="63" spans="6:59">
      <c r="X63" s="224"/>
      <c r="Y63" s="224"/>
      <c r="AJ63" s="228" t="s">
        <v>272</v>
      </c>
      <c r="BB63" s="224"/>
      <c r="BC63" s="224"/>
    </row>
    <row r="64" spans="6:59">
      <c r="X64" s="224"/>
      <c r="Y64" s="224"/>
      <c r="BB64" s="224"/>
      <c r="BC64" s="224"/>
    </row>
    <row r="68" spans="8:55" s="112" customFormat="1"/>
    <row r="69" spans="8:55" s="112" customFormat="1"/>
    <row r="70" spans="8:55" s="112" customFormat="1"/>
    <row r="72" spans="8:55">
      <c r="Y72" s="224"/>
      <c r="BC72" s="224"/>
    </row>
    <row r="73" spans="8:55">
      <c r="Y73" s="224"/>
      <c r="BC73" s="224"/>
    </row>
    <row r="74" spans="8:55" ht="13.5" thickBot="1">
      <c r="Y74" s="224"/>
      <c r="BC74" s="224"/>
    </row>
    <row r="75" spans="8:55">
      <c r="H75" s="221"/>
      <c r="I75" s="162"/>
      <c r="J75" s="162"/>
      <c r="K75" s="163"/>
      <c r="L75" s="221"/>
      <c r="M75" s="162"/>
      <c r="N75" s="162"/>
      <c r="O75" s="162"/>
      <c r="P75" s="162"/>
      <c r="Q75" s="162"/>
      <c r="R75" s="162"/>
      <c r="S75" s="162"/>
      <c r="T75" s="162"/>
      <c r="U75" s="162"/>
      <c r="V75" s="162"/>
      <c r="W75" s="162"/>
      <c r="X75" s="163"/>
      <c r="Y75" s="224"/>
      <c r="AL75" s="221"/>
      <c r="AM75" s="162"/>
      <c r="AN75" s="162"/>
      <c r="AO75" s="163"/>
      <c r="AP75" s="241"/>
      <c r="AQ75" s="241"/>
      <c r="AR75" s="241"/>
      <c r="AS75" s="241"/>
      <c r="AT75" s="241"/>
      <c r="AU75" s="241"/>
      <c r="AV75" s="241"/>
      <c r="AW75" s="241"/>
      <c r="AX75" s="241"/>
      <c r="AY75" s="241"/>
      <c r="AZ75" s="241"/>
      <c r="BA75" s="241"/>
      <c r="BB75" s="242"/>
      <c r="BC75" s="224"/>
    </row>
    <row r="76" spans="8:55">
      <c r="H76" s="164"/>
      <c r="K76" s="165"/>
      <c r="L76" s="164"/>
      <c r="X76" s="165"/>
      <c r="Y76" s="224"/>
      <c r="AL76" s="164"/>
      <c r="AO76" s="165"/>
      <c r="AP76" s="243"/>
      <c r="AQ76" s="243"/>
      <c r="AR76" s="243"/>
      <c r="AS76" s="243"/>
      <c r="AT76" s="243"/>
      <c r="AU76" s="243"/>
      <c r="AV76" s="243"/>
      <c r="AW76" s="243"/>
      <c r="AX76" s="243"/>
      <c r="AY76" s="243"/>
      <c r="AZ76" s="243"/>
      <c r="BA76" s="243"/>
      <c r="BB76" s="244"/>
      <c r="BC76" s="224"/>
    </row>
    <row r="77" spans="8:55">
      <c r="H77" s="164"/>
      <c r="K77" s="165"/>
      <c r="L77" s="164"/>
      <c r="X77" s="165"/>
      <c r="Y77" s="224"/>
      <c r="AL77" s="164"/>
      <c r="AO77" s="165"/>
      <c r="AP77" s="243"/>
      <c r="AQ77" s="243"/>
      <c r="AR77" s="243"/>
      <c r="AS77" s="243"/>
      <c r="AT77" s="243"/>
      <c r="AU77" s="243"/>
      <c r="AV77" s="243"/>
      <c r="AW77" s="243"/>
      <c r="AX77" s="243"/>
      <c r="AY77" s="243"/>
      <c r="AZ77" s="243"/>
      <c r="BA77" s="243"/>
      <c r="BB77" s="244"/>
      <c r="BC77" s="224"/>
    </row>
    <row r="78" spans="8:55">
      <c r="H78" s="164"/>
      <c r="K78" s="165"/>
      <c r="L78" s="164"/>
      <c r="X78" s="165"/>
      <c r="Y78" s="224"/>
      <c r="AL78" s="164"/>
      <c r="AO78" s="165"/>
      <c r="AP78" s="243"/>
      <c r="AQ78" s="243"/>
      <c r="AR78" s="243"/>
      <c r="AS78" s="243"/>
      <c r="AT78" s="243"/>
      <c r="AU78" s="243"/>
      <c r="AV78" s="243"/>
      <c r="AW78" s="243"/>
      <c r="AX78" s="243"/>
      <c r="AY78" s="243"/>
      <c r="AZ78" s="243"/>
      <c r="BA78" s="243"/>
      <c r="BB78" s="244"/>
      <c r="BC78" s="224"/>
    </row>
    <row r="79" spans="8:55">
      <c r="H79" s="227"/>
      <c r="I79" s="21" t="s">
        <v>239</v>
      </c>
      <c r="J79" s="21"/>
      <c r="K79" s="165"/>
      <c r="L79" s="164"/>
      <c r="Q79" s="33" t="s">
        <v>231</v>
      </c>
      <c r="X79" s="165"/>
      <c r="Y79" s="224"/>
      <c r="AL79" s="227"/>
      <c r="AM79" s="21" t="s">
        <v>239</v>
      </c>
      <c r="AN79" s="21"/>
      <c r="AO79" s="165"/>
      <c r="AP79" s="243"/>
      <c r="AQ79" s="243"/>
      <c r="AR79" s="243"/>
      <c r="AS79" s="243"/>
      <c r="AT79" s="243"/>
      <c r="AU79" s="255" t="s">
        <v>30</v>
      </c>
      <c r="AV79" s="243"/>
      <c r="AW79" s="243"/>
      <c r="AX79" s="243"/>
      <c r="AY79" s="243"/>
      <c r="AZ79" s="243"/>
      <c r="BA79" s="243"/>
      <c r="BB79" s="244"/>
      <c r="BC79" s="224"/>
    </row>
    <row r="80" spans="8:55">
      <c r="H80" s="164"/>
      <c r="J80" s="21"/>
      <c r="K80" s="165"/>
      <c r="L80" s="164"/>
      <c r="P80" s="21"/>
      <c r="Q80" s="21"/>
      <c r="X80" s="165"/>
      <c r="Y80" s="224"/>
      <c r="AL80" s="164"/>
      <c r="AN80" s="21"/>
      <c r="AO80" s="165"/>
      <c r="AP80" s="243"/>
      <c r="AQ80" s="243"/>
      <c r="AR80" s="243"/>
      <c r="AS80" s="243"/>
      <c r="AT80" s="243"/>
      <c r="AU80" s="245" t="s">
        <v>236</v>
      </c>
      <c r="AV80" s="243"/>
      <c r="AW80" s="243"/>
      <c r="AX80" s="243"/>
      <c r="AY80" s="243"/>
      <c r="AZ80" s="243"/>
      <c r="BA80" s="243"/>
      <c r="BB80" s="244"/>
      <c r="BC80" s="224"/>
    </row>
    <row r="81" spans="6:59">
      <c r="H81" s="164"/>
      <c r="K81" s="165"/>
      <c r="L81" s="164"/>
      <c r="X81" s="165"/>
      <c r="Y81" s="224"/>
      <c r="AL81" s="164"/>
      <c r="AO81" s="165"/>
      <c r="AP81" s="243"/>
      <c r="AQ81" s="243"/>
      <c r="AR81" s="243"/>
      <c r="AS81" s="243"/>
      <c r="AT81" s="243"/>
      <c r="AU81" s="243"/>
      <c r="AV81" s="243"/>
      <c r="AW81" s="243"/>
      <c r="AX81" s="243"/>
      <c r="AY81" s="243"/>
      <c r="AZ81" s="243"/>
      <c r="BA81" s="243"/>
      <c r="BB81" s="244"/>
      <c r="BC81" s="224"/>
    </row>
    <row r="82" spans="6:59">
      <c r="H82" s="164"/>
      <c r="K82" s="165"/>
      <c r="L82" s="164"/>
      <c r="X82" s="165"/>
      <c r="Y82" s="224"/>
      <c r="AL82" s="164"/>
      <c r="AO82" s="165"/>
      <c r="AP82" s="243"/>
      <c r="AQ82" s="243"/>
      <c r="AR82" s="243"/>
      <c r="AS82" s="243"/>
      <c r="AT82" s="243"/>
      <c r="AU82" s="243"/>
      <c r="AV82" s="243"/>
      <c r="AW82" s="243"/>
      <c r="AX82" s="243"/>
      <c r="AY82" s="243"/>
      <c r="AZ82" s="243"/>
      <c r="BA82" s="243"/>
      <c r="BB82" s="244"/>
      <c r="BC82" s="224"/>
    </row>
    <row r="83" spans="6:59" ht="13.5" thickBot="1">
      <c r="H83" s="166"/>
      <c r="I83" s="167"/>
      <c r="J83" s="167"/>
      <c r="K83" s="229" t="s">
        <v>241</v>
      </c>
      <c r="L83" s="166"/>
      <c r="M83" s="167"/>
      <c r="N83" s="167"/>
      <c r="O83" s="167"/>
      <c r="P83" s="167"/>
      <c r="Q83" s="167"/>
      <c r="R83" s="167"/>
      <c r="S83" s="167"/>
      <c r="T83" s="230" t="s">
        <v>241</v>
      </c>
      <c r="U83" s="167"/>
      <c r="V83" s="167"/>
      <c r="W83" s="167"/>
      <c r="X83" s="168"/>
      <c r="Y83" s="224"/>
      <c r="AL83" s="166"/>
      <c r="AM83" s="167"/>
      <c r="AN83" s="167"/>
      <c r="AO83" s="229" t="s">
        <v>241</v>
      </c>
      <c r="AP83" s="246"/>
      <c r="AQ83" s="246"/>
      <c r="AR83" s="246"/>
      <c r="AS83" s="246"/>
      <c r="AT83" s="246"/>
      <c r="AU83" s="246"/>
      <c r="AV83" s="246"/>
      <c r="AW83" s="246"/>
      <c r="AX83" s="247" t="s">
        <v>241</v>
      </c>
      <c r="AY83" s="246"/>
      <c r="AZ83" s="246"/>
      <c r="BA83" s="246"/>
      <c r="BB83" s="248"/>
      <c r="BC83" s="224"/>
    </row>
    <row r="84" spans="6:59">
      <c r="Z84" s="225"/>
      <c r="AA84" s="226" t="s">
        <v>232</v>
      </c>
      <c r="AB84" s="225"/>
      <c r="AC84" s="225"/>
      <c r="BD84" s="225"/>
      <c r="BE84" s="226" t="s">
        <v>232</v>
      </c>
      <c r="BF84" s="225"/>
      <c r="BG84" s="225"/>
    </row>
    <row r="85" spans="6:59">
      <c r="F85" s="222"/>
      <c r="G85" s="222"/>
      <c r="H85" s="222"/>
      <c r="I85" s="222"/>
      <c r="J85" s="222"/>
      <c r="K85" s="222"/>
      <c r="L85" s="222"/>
      <c r="M85" s="222"/>
      <c r="N85" s="222"/>
      <c r="O85" s="222"/>
      <c r="P85" s="222"/>
      <c r="Q85" s="222"/>
      <c r="R85" s="222"/>
      <c r="S85" s="222"/>
      <c r="T85" s="222"/>
      <c r="U85" s="222"/>
      <c r="V85" s="222"/>
      <c r="W85" s="222"/>
      <c r="X85" s="223"/>
      <c r="Y85" s="224"/>
      <c r="AJ85" s="222"/>
      <c r="AK85" s="222"/>
      <c r="AL85" s="222"/>
      <c r="AM85" s="222"/>
      <c r="AN85" s="222"/>
      <c r="AO85" s="222"/>
      <c r="AP85" s="222"/>
      <c r="AQ85" s="222"/>
      <c r="AR85" s="222"/>
      <c r="AS85" s="222"/>
      <c r="AT85" s="222"/>
      <c r="AU85" s="222"/>
      <c r="AV85" s="222"/>
      <c r="AW85" s="222"/>
      <c r="AX85" s="222"/>
      <c r="AY85" s="222"/>
      <c r="AZ85" s="222"/>
      <c r="BA85" s="222"/>
      <c r="BB85" s="223"/>
      <c r="BC85" s="224"/>
    </row>
    <row r="86" spans="6:59">
      <c r="X86" s="224"/>
      <c r="Y86" s="224"/>
      <c r="BB86" s="224"/>
      <c r="BC86" s="224"/>
    </row>
    <row r="87" spans="6:59">
      <c r="X87" s="224"/>
      <c r="Y87" s="224"/>
      <c r="BB87" s="224"/>
      <c r="BC87" s="224"/>
    </row>
    <row r="88" spans="6:59">
      <c r="X88" s="224"/>
      <c r="Y88" s="224"/>
      <c r="AI88" s="228" t="s">
        <v>297</v>
      </c>
      <c r="BB88" s="224"/>
      <c r="BC88" s="224"/>
    </row>
    <row r="89" spans="6:59">
      <c r="X89" s="224"/>
      <c r="Y89" s="224"/>
      <c r="BB89" s="224"/>
      <c r="BC89" s="224"/>
    </row>
    <row r="93" spans="6:59" s="112" customFormat="1"/>
    <row r="94" spans="6:59" s="112" customFormat="1"/>
    <row r="95" spans="6:59" s="112" customFormat="1"/>
    <row r="97" spans="6:59">
      <c r="Y97" s="224"/>
      <c r="BC97" s="224"/>
    </row>
    <row r="98" spans="6:59">
      <c r="Y98" s="224"/>
      <c r="BC98" s="224"/>
    </row>
    <row r="99" spans="6:59" ht="13.5" thickBot="1">
      <c r="Y99" s="224"/>
      <c r="BC99" s="224"/>
    </row>
    <row r="100" spans="6:59">
      <c r="H100" s="221"/>
      <c r="I100" s="162"/>
      <c r="J100" s="162"/>
      <c r="K100" s="163"/>
      <c r="L100" s="241"/>
      <c r="M100" s="241"/>
      <c r="N100" s="241"/>
      <c r="O100" s="241"/>
      <c r="P100" s="241"/>
      <c r="Q100" s="241"/>
      <c r="R100" s="241"/>
      <c r="S100" s="241"/>
      <c r="T100" s="241"/>
      <c r="U100" s="241"/>
      <c r="V100" s="241"/>
      <c r="W100" s="241"/>
      <c r="X100" s="242"/>
      <c r="Y100" s="224"/>
      <c r="AL100" s="231"/>
      <c r="AM100" s="232"/>
      <c r="AN100" s="232"/>
      <c r="AO100" s="233"/>
      <c r="AP100" s="241"/>
      <c r="AQ100" s="241"/>
      <c r="AR100" s="241"/>
      <c r="AS100" s="241"/>
      <c r="AT100" s="241"/>
      <c r="AU100" s="241"/>
      <c r="AV100" s="241"/>
      <c r="AW100" s="241"/>
      <c r="AX100" s="241"/>
      <c r="AY100" s="241"/>
      <c r="AZ100" s="241"/>
      <c r="BA100" s="241"/>
      <c r="BB100" s="242"/>
      <c r="BC100" s="224"/>
    </row>
    <row r="101" spans="6:59">
      <c r="H101" s="164"/>
      <c r="K101" s="165"/>
      <c r="L101" s="243"/>
      <c r="M101" s="243"/>
      <c r="N101" s="243"/>
      <c r="O101" s="243"/>
      <c r="P101" s="243"/>
      <c r="Q101" s="243"/>
      <c r="R101" s="243"/>
      <c r="S101" s="243"/>
      <c r="T101" s="243"/>
      <c r="U101" s="243"/>
      <c r="V101" s="243"/>
      <c r="W101" s="243"/>
      <c r="X101" s="244"/>
      <c r="Y101" s="224"/>
      <c r="AL101" s="234"/>
      <c r="AM101" s="235"/>
      <c r="AN101" s="235"/>
      <c r="AO101" s="235"/>
      <c r="AP101" s="243"/>
      <c r="AQ101" s="243"/>
      <c r="AR101" s="243"/>
      <c r="AS101" s="243"/>
      <c r="AT101" s="243"/>
      <c r="AU101" s="243"/>
      <c r="AV101" s="243"/>
      <c r="AW101" s="243"/>
      <c r="AX101" s="243"/>
      <c r="AY101" s="243"/>
      <c r="AZ101" s="243"/>
      <c r="BA101" s="243"/>
      <c r="BB101" s="244"/>
      <c r="BC101" s="224"/>
    </row>
    <row r="102" spans="6:59">
      <c r="H102" s="164"/>
      <c r="K102" s="165"/>
      <c r="L102" s="243"/>
      <c r="M102" s="243"/>
      <c r="N102" s="243"/>
      <c r="O102" s="243"/>
      <c r="P102" s="243"/>
      <c r="Q102" s="243"/>
      <c r="R102" s="243"/>
      <c r="S102" s="243"/>
      <c r="T102" s="243"/>
      <c r="U102" s="243"/>
      <c r="V102" s="243"/>
      <c r="W102" s="243"/>
      <c r="X102" s="244"/>
      <c r="Y102" s="224"/>
      <c r="AL102" s="234"/>
      <c r="AM102" s="235"/>
      <c r="AN102" s="235"/>
      <c r="AO102" s="236"/>
      <c r="AP102" s="243"/>
      <c r="AQ102" s="243"/>
      <c r="AR102" s="243"/>
      <c r="AS102" s="243"/>
      <c r="AT102" s="243"/>
      <c r="AU102" s="243"/>
      <c r="AV102" s="243"/>
      <c r="AW102" s="243"/>
      <c r="AX102" s="243"/>
      <c r="AY102" s="243"/>
      <c r="AZ102" s="243"/>
      <c r="BA102" s="243"/>
      <c r="BB102" s="244"/>
      <c r="BC102" s="224"/>
    </row>
    <row r="103" spans="6:59">
      <c r="H103" s="164"/>
      <c r="K103" s="165"/>
      <c r="L103" s="243"/>
      <c r="M103" s="243"/>
      <c r="N103" s="243"/>
      <c r="O103" s="243"/>
      <c r="P103" s="243"/>
      <c r="Q103" s="243"/>
      <c r="R103" s="243"/>
      <c r="S103" s="243"/>
      <c r="T103" s="243"/>
      <c r="U103" s="243"/>
      <c r="V103" s="243"/>
      <c r="W103" s="243"/>
      <c r="X103" s="244"/>
      <c r="Y103" s="224"/>
      <c r="AL103" s="234"/>
      <c r="AM103" s="235"/>
      <c r="AN103" s="235"/>
      <c r="AO103" s="236"/>
      <c r="AP103" s="243"/>
      <c r="AQ103" s="243"/>
      <c r="AR103" s="243"/>
      <c r="AS103" s="243"/>
      <c r="AT103" s="243"/>
      <c r="AU103" s="243"/>
      <c r="AV103" s="243"/>
      <c r="AW103" s="243"/>
      <c r="AX103" s="243"/>
      <c r="AY103" s="243"/>
      <c r="AZ103" s="243"/>
      <c r="BA103" s="243"/>
      <c r="BB103" s="244"/>
      <c r="BC103" s="224"/>
    </row>
    <row r="104" spans="6:59">
      <c r="H104" s="227"/>
      <c r="I104" s="21" t="s">
        <v>239</v>
      </c>
      <c r="J104" s="21"/>
      <c r="K104" s="165"/>
      <c r="L104" s="243"/>
      <c r="M104" s="243"/>
      <c r="N104" s="243"/>
      <c r="O104" s="243"/>
      <c r="P104" s="243"/>
      <c r="Q104" s="255" t="s">
        <v>30</v>
      </c>
      <c r="R104" s="243"/>
      <c r="S104" s="243"/>
      <c r="T104" s="243"/>
      <c r="U104" s="243"/>
      <c r="V104" s="243"/>
      <c r="W104" s="243"/>
      <c r="X104" s="244"/>
      <c r="Y104" s="224"/>
      <c r="AL104" s="250" t="s">
        <v>243</v>
      </c>
      <c r="AM104" s="249"/>
      <c r="AN104" s="237"/>
      <c r="AO104" s="236"/>
      <c r="AP104" s="243"/>
      <c r="AQ104" s="243"/>
      <c r="AR104" s="243"/>
      <c r="AS104" s="243"/>
      <c r="AT104" s="243"/>
      <c r="AU104" s="255" t="s">
        <v>30</v>
      </c>
      <c r="AV104" s="243"/>
      <c r="AW104" s="243"/>
      <c r="AX104" s="243"/>
      <c r="AY104" s="243"/>
      <c r="AZ104" s="243"/>
      <c r="BA104" s="243"/>
      <c r="BB104" s="244"/>
      <c r="BC104" s="224"/>
    </row>
    <row r="105" spans="6:59">
      <c r="H105" s="164"/>
      <c r="J105" s="21"/>
      <c r="K105" s="165"/>
      <c r="L105" s="243"/>
      <c r="M105" s="243"/>
      <c r="N105" s="243"/>
      <c r="O105" s="243"/>
      <c r="P105" s="243"/>
      <c r="Q105" s="245" t="s">
        <v>236</v>
      </c>
      <c r="R105" s="243"/>
      <c r="S105" s="243"/>
      <c r="T105" s="243"/>
      <c r="U105" s="243"/>
      <c r="V105" s="243"/>
      <c r="W105" s="243"/>
      <c r="X105" s="244"/>
      <c r="Y105" s="224"/>
      <c r="AL105" s="234"/>
      <c r="AM105" s="249" t="s">
        <v>242</v>
      </c>
      <c r="AN105" s="237"/>
      <c r="AO105" s="236"/>
      <c r="AP105" s="243"/>
      <c r="AQ105" s="243"/>
      <c r="AR105" s="243"/>
      <c r="AS105" s="243"/>
      <c r="AT105" s="243"/>
      <c r="AU105" s="245" t="s">
        <v>236</v>
      </c>
      <c r="AV105" s="243"/>
      <c r="AW105" s="243"/>
      <c r="AX105" s="243"/>
      <c r="AY105" s="243"/>
      <c r="AZ105" s="243"/>
      <c r="BA105" s="243"/>
      <c r="BB105" s="244"/>
      <c r="BC105" s="224"/>
    </row>
    <row r="106" spans="6:59">
      <c r="H106" s="164"/>
      <c r="K106" s="165"/>
      <c r="L106" s="243"/>
      <c r="M106" s="243"/>
      <c r="N106" s="243"/>
      <c r="O106" s="243"/>
      <c r="P106" s="243"/>
      <c r="Q106" s="243"/>
      <c r="R106" s="243"/>
      <c r="S106" s="243"/>
      <c r="T106" s="243"/>
      <c r="U106" s="243"/>
      <c r="V106" s="243"/>
      <c r="W106" s="243"/>
      <c r="X106" s="244"/>
      <c r="Y106" s="224"/>
      <c r="AL106" s="234"/>
      <c r="AM106" s="235"/>
      <c r="AN106" s="235"/>
      <c r="AO106" s="236"/>
      <c r="AP106" s="243"/>
      <c r="AQ106" s="243"/>
      <c r="AR106" s="243"/>
      <c r="AS106" s="243"/>
      <c r="AT106" s="243"/>
      <c r="AU106" s="243"/>
      <c r="AV106" s="243"/>
      <c r="AW106" s="243"/>
      <c r="AX106" s="243"/>
      <c r="AY106" s="243"/>
      <c r="AZ106" s="243"/>
      <c r="BA106" s="243"/>
      <c r="BB106" s="244"/>
      <c r="BC106" s="224"/>
    </row>
    <row r="107" spans="6:59">
      <c r="H107" s="164"/>
      <c r="K107" s="165"/>
      <c r="L107" s="243"/>
      <c r="M107" s="243"/>
      <c r="N107" s="243"/>
      <c r="O107" s="243"/>
      <c r="P107" s="243"/>
      <c r="Q107" s="243"/>
      <c r="R107" s="243"/>
      <c r="S107" s="243"/>
      <c r="T107" s="243"/>
      <c r="U107" s="243"/>
      <c r="V107" s="243"/>
      <c r="W107" s="243"/>
      <c r="X107" s="244"/>
      <c r="Y107" s="224"/>
      <c r="AL107" s="234"/>
      <c r="AM107" s="235"/>
      <c r="AN107" s="235"/>
      <c r="AO107" s="236"/>
      <c r="AP107" s="243"/>
      <c r="AQ107" s="243"/>
      <c r="AR107" s="243"/>
      <c r="AS107" s="243"/>
      <c r="AT107" s="243"/>
      <c r="AU107" s="243"/>
      <c r="AV107" s="243"/>
      <c r="AW107" s="243"/>
      <c r="AX107" s="243"/>
      <c r="AY107" s="243"/>
      <c r="AZ107" s="243"/>
      <c r="BA107" s="243"/>
      <c r="BB107" s="244"/>
      <c r="BC107" s="224"/>
    </row>
    <row r="108" spans="6:59" ht="13.5" thickBot="1">
      <c r="H108" s="166"/>
      <c r="I108" s="167"/>
      <c r="J108" s="167"/>
      <c r="K108" s="229" t="s">
        <v>241</v>
      </c>
      <c r="L108" s="246"/>
      <c r="M108" s="246"/>
      <c r="N108" s="246"/>
      <c r="O108" s="246"/>
      <c r="P108" s="246"/>
      <c r="Q108" s="246"/>
      <c r="R108" s="246"/>
      <c r="S108" s="246"/>
      <c r="T108" s="247" t="s">
        <v>241</v>
      </c>
      <c r="U108" s="246"/>
      <c r="V108" s="246"/>
      <c r="W108" s="246"/>
      <c r="X108" s="248"/>
      <c r="Y108" s="224"/>
      <c r="AL108" s="238"/>
      <c r="AM108" s="239"/>
      <c r="AN108" s="239"/>
      <c r="AO108" s="240" t="s">
        <v>241</v>
      </c>
      <c r="AP108" s="246"/>
      <c r="AQ108" s="246"/>
      <c r="AR108" s="246"/>
      <c r="AS108" s="246"/>
      <c r="AT108" s="246"/>
      <c r="AU108" s="246"/>
      <c r="AV108" s="246"/>
      <c r="AW108" s="246"/>
      <c r="AX108" s="247" t="s">
        <v>241</v>
      </c>
      <c r="AY108" s="246"/>
      <c r="AZ108" s="246"/>
      <c r="BA108" s="246"/>
      <c r="BB108" s="248"/>
      <c r="BC108" s="224"/>
    </row>
    <row r="109" spans="6:59">
      <c r="Z109" s="225"/>
      <c r="AA109" s="226" t="s">
        <v>232</v>
      </c>
      <c r="AB109" s="225"/>
      <c r="AC109" s="225"/>
      <c r="BD109" s="225"/>
      <c r="BE109" s="226" t="s">
        <v>232</v>
      </c>
      <c r="BF109" s="225"/>
      <c r="BG109" s="225"/>
    </row>
    <row r="110" spans="6:59">
      <c r="F110" s="222"/>
      <c r="G110" s="222"/>
      <c r="H110" s="222"/>
      <c r="I110" s="222"/>
      <c r="J110" s="222"/>
      <c r="K110" s="222"/>
      <c r="L110" s="222"/>
      <c r="M110" s="222"/>
      <c r="N110" s="222"/>
      <c r="O110" s="222"/>
      <c r="P110" s="222"/>
      <c r="Q110" s="222"/>
      <c r="R110" s="222"/>
      <c r="S110" s="222"/>
      <c r="T110" s="222"/>
      <c r="U110" s="222"/>
      <c r="V110" s="222"/>
      <c r="W110" s="222"/>
      <c r="X110" s="223"/>
      <c r="Y110" s="224"/>
      <c r="AJ110" s="222"/>
      <c r="AK110" s="222"/>
      <c r="AL110" s="222"/>
      <c r="AM110" s="222"/>
      <c r="AN110" s="222"/>
      <c r="AO110" s="222"/>
      <c r="AP110" s="222"/>
      <c r="AQ110" s="222"/>
      <c r="AR110" s="222"/>
      <c r="AS110" s="222"/>
      <c r="AT110" s="222"/>
      <c r="AU110" s="222"/>
      <c r="AV110" s="222"/>
      <c r="AW110" s="222"/>
      <c r="AX110" s="222"/>
      <c r="AY110" s="222"/>
      <c r="AZ110" s="222"/>
      <c r="BA110" s="222"/>
      <c r="BB110" s="223"/>
      <c r="BC110" s="224"/>
    </row>
    <row r="111" spans="6:59">
      <c r="X111" s="224"/>
      <c r="Y111" s="224"/>
      <c r="BB111" s="224"/>
      <c r="BC111" s="224"/>
    </row>
    <row r="112" spans="6:59">
      <c r="X112" s="224"/>
      <c r="Y112" s="224"/>
      <c r="BB112" s="224"/>
      <c r="BC112" s="224"/>
    </row>
    <row r="113" spans="6:55">
      <c r="X113" s="224"/>
      <c r="Y113" s="224"/>
      <c r="BB113" s="224"/>
      <c r="BC113" s="224"/>
    </row>
    <row r="114" spans="6:55">
      <c r="X114" s="224"/>
      <c r="Y114" s="224"/>
      <c r="BB114" s="224"/>
      <c r="BC114" s="224"/>
    </row>
    <row r="120" spans="6:55">
      <c r="F120" s="251" t="s">
        <v>244</v>
      </c>
    </row>
    <row r="123" spans="6:55">
      <c r="Y123" s="224"/>
      <c r="BC123" s="224"/>
    </row>
    <row r="124" spans="6:55">
      <c r="Y124" s="224"/>
      <c r="BC124" s="224"/>
    </row>
    <row r="125" spans="6:55" ht="13.5" thickBot="1">
      <c r="Y125" s="224"/>
      <c r="BC125" s="224"/>
    </row>
    <row r="126" spans="6:55">
      <c r="H126" s="221"/>
      <c r="I126" s="162"/>
      <c r="J126" s="162"/>
      <c r="K126" s="163"/>
      <c r="L126" s="241"/>
      <c r="M126" s="241"/>
      <c r="N126" s="241"/>
      <c r="O126" s="241"/>
      <c r="P126" s="241"/>
      <c r="Q126" s="241"/>
      <c r="R126" s="241"/>
      <c r="S126" s="241"/>
      <c r="T126" s="241"/>
      <c r="U126" s="241"/>
      <c r="V126" s="241"/>
      <c r="W126" s="241"/>
      <c r="X126" s="242"/>
      <c r="Y126" s="224"/>
      <c r="AL126" s="231"/>
      <c r="AM126" s="232"/>
      <c r="AN126" s="232"/>
      <c r="AO126" s="233"/>
      <c r="AP126" s="241"/>
      <c r="AQ126" s="241"/>
      <c r="AR126" s="241"/>
      <c r="AS126" s="241"/>
      <c r="AT126" s="241"/>
      <c r="AU126" s="241"/>
      <c r="AV126" s="241"/>
      <c r="AW126" s="241"/>
      <c r="AX126" s="241"/>
      <c r="AY126" s="241"/>
      <c r="AZ126" s="241"/>
      <c r="BA126" s="241"/>
      <c r="BB126" s="242"/>
      <c r="BC126" s="224"/>
    </row>
    <row r="127" spans="6:55">
      <c r="H127" s="164"/>
      <c r="K127" s="165"/>
      <c r="L127" s="243"/>
      <c r="M127" s="243"/>
      <c r="N127" s="243"/>
      <c r="O127" s="243"/>
      <c r="P127" s="243"/>
      <c r="Q127" s="243"/>
      <c r="R127" s="243"/>
      <c r="S127" s="243"/>
      <c r="T127" s="243"/>
      <c r="U127" s="243"/>
      <c r="V127" s="243"/>
      <c r="W127" s="243"/>
      <c r="X127" s="244"/>
      <c r="Y127" s="224"/>
      <c r="AL127" s="234"/>
      <c r="AM127" s="235"/>
      <c r="AN127" s="235"/>
      <c r="AO127" s="235"/>
      <c r="AP127" s="243"/>
      <c r="AQ127" s="243"/>
      <c r="AR127" s="243"/>
      <c r="AS127" s="243"/>
      <c r="AT127" s="243"/>
      <c r="AU127" s="243"/>
      <c r="AV127" s="243"/>
      <c r="AW127" s="243"/>
      <c r="AX127" s="243"/>
      <c r="AY127" s="243"/>
      <c r="AZ127" s="243"/>
      <c r="BA127" s="243"/>
      <c r="BB127" s="244"/>
      <c r="BC127" s="224"/>
    </row>
    <row r="128" spans="6:55">
      <c r="H128" s="164"/>
      <c r="K128" s="165"/>
      <c r="L128" s="243"/>
      <c r="M128" s="243"/>
      <c r="N128" s="243"/>
      <c r="O128" s="243"/>
      <c r="P128" s="243"/>
      <c r="Q128" s="243"/>
      <c r="R128" s="243"/>
      <c r="S128" s="243"/>
      <c r="T128" s="243"/>
      <c r="U128" s="243"/>
      <c r="V128" s="243"/>
      <c r="W128" s="243"/>
      <c r="X128" s="244"/>
      <c r="Y128" s="224"/>
      <c r="AL128" s="234"/>
      <c r="AM128" s="235"/>
      <c r="AN128" s="235"/>
      <c r="AO128" s="236"/>
      <c r="AP128" s="243"/>
      <c r="AQ128" s="243"/>
      <c r="AR128" s="243"/>
      <c r="AS128" s="243"/>
      <c r="AT128" s="243"/>
      <c r="AU128" s="243"/>
      <c r="AV128" s="243"/>
      <c r="AW128" s="243"/>
      <c r="AX128" s="243"/>
      <c r="AY128" s="243"/>
      <c r="AZ128" s="243"/>
      <c r="BA128" s="243"/>
      <c r="BB128" s="244"/>
      <c r="BC128" s="224"/>
    </row>
    <row r="129" spans="6:59">
      <c r="H129" s="164"/>
      <c r="K129" s="165"/>
      <c r="L129" s="243"/>
      <c r="M129" s="243"/>
      <c r="N129" s="243"/>
      <c r="O129" s="243"/>
      <c r="P129" s="243"/>
      <c r="Q129" s="243"/>
      <c r="R129" s="243"/>
      <c r="S129" s="243"/>
      <c r="T129" s="243"/>
      <c r="U129" s="243"/>
      <c r="V129" s="243"/>
      <c r="W129" s="243"/>
      <c r="X129" s="244"/>
      <c r="Y129" s="224"/>
      <c r="AL129" s="234"/>
      <c r="AM129" s="235"/>
      <c r="AN129" s="235"/>
      <c r="AO129" s="236"/>
      <c r="AP129" s="243"/>
      <c r="AQ129" s="243"/>
      <c r="AR129" s="243"/>
      <c r="AS129" s="243"/>
      <c r="AT129" s="243"/>
      <c r="AU129" s="243"/>
      <c r="AV129" s="243"/>
      <c r="AW129" s="243"/>
      <c r="AX129" s="243"/>
      <c r="AY129" s="243"/>
      <c r="AZ129" s="243"/>
      <c r="BA129" s="243"/>
      <c r="BB129" s="244"/>
      <c r="BC129" s="224"/>
    </row>
    <row r="130" spans="6:59">
      <c r="H130" s="227"/>
      <c r="I130" s="21" t="s">
        <v>239</v>
      </c>
      <c r="J130" s="21"/>
      <c r="K130" s="165"/>
      <c r="L130" s="243"/>
      <c r="M130" s="243"/>
      <c r="N130" s="243"/>
      <c r="O130" s="243"/>
      <c r="P130" s="243"/>
      <c r="Q130" s="255" t="s">
        <v>30</v>
      </c>
      <c r="R130" s="243"/>
      <c r="S130" s="243"/>
      <c r="T130" s="243"/>
      <c r="U130" s="243"/>
      <c r="V130" s="243"/>
      <c r="W130" s="243"/>
      <c r="X130" s="244"/>
      <c r="Y130" s="224"/>
      <c r="AL130" s="250" t="s">
        <v>243</v>
      </c>
      <c r="AM130" s="249"/>
      <c r="AN130" s="237"/>
      <c r="AO130" s="236"/>
      <c r="AP130" s="243"/>
      <c r="AQ130" s="243"/>
      <c r="AR130" s="243"/>
      <c r="AS130" s="243"/>
      <c r="AT130" s="243"/>
      <c r="AU130" s="255" t="s">
        <v>30</v>
      </c>
      <c r="AV130" s="243"/>
      <c r="AW130" s="243"/>
      <c r="AX130" s="243"/>
      <c r="AY130" s="243"/>
      <c r="AZ130" s="243"/>
      <c r="BA130" s="243"/>
      <c r="BB130" s="244"/>
      <c r="BC130" s="224"/>
    </row>
    <row r="131" spans="6:59">
      <c r="H131" s="164"/>
      <c r="J131" s="21"/>
      <c r="K131" s="165"/>
      <c r="L131" s="243"/>
      <c r="M131" s="243"/>
      <c r="N131" s="243"/>
      <c r="O131" s="243"/>
      <c r="P131" s="243"/>
      <c r="Q131" s="245" t="s">
        <v>236</v>
      </c>
      <c r="R131" s="243"/>
      <c r="S131" s="243"/>
      <c r="T131" s="243"/>
      <c r="U131" s="243"/>
      <c r="V131" s="243"/>
      <c r="W131" s="243"/>
      <c r="X131" s="244"/>
      <c r="Y131" s="224"/>
      <c r="AL131" s="234"/>
      <c r="AM131" s="249" t="s">
        <v>242</v>
      </c>
      <c r="AN131" s="237"/>
      <c r="AO131" s="236"/>
      <c r="AP131" s="243"/>
      <c r="AQ131" s="243"/>
      <c r="AR131" s="243"/>
      <c r="AS131" s="243"/>
      <c r="AT131" s="243"/>
      <c r="AU131" s="245"/>
      <c r="AV131" s="243"/>
      <c r="AW131" s="243"/>
      <c r="AX131" s="243"/>
      <c r="AY131" s="243"/>
      <c r="AZ131" s="243"/>
      <c r="BA131" s="243"/>
      <c r="BB131" s="244"/>
      <c r="BC131" s="224"/>
    </row>
    <row r="132" spans="6:59">
      <c r="H132" s="164"/>
      <c r="K132" s="165"/>
      <c r="L132" s="243"/>
      <c r="M132" s="243"/>
      <c r="N132" s="243"/>
      <c r="O132" s="243"/>
      <c r="P132" s="243"/>
      <c r="Q132" s="243"/>
      <c r="R132" s="243"/>
      <c r="S132" s="243"/>
      <c r="T132" s="243"/>
      <c r="U132" s="243"/>
      <c r="V132" s="243"/>
      <c r="W132" s="243"/>
      <c r="X132" s="244"/>
      <c r="Y132" s="224"/>
      <c r="AL132" s="234"/>
      <c r="AM132" s="235"/>
      <c r="AN132" s="237"/>
      <c r="AO132" s="256"/>
      <c r="AP132" s="243"/>
      <c r="AQ132" s="243"/>
      <c r="AR132" s="243"/>
      <c r="AS132" s="243"/>
      <c r="AT132" s="243"/>
      <c r="AU132" s="243"/>
      <c r="AV132" s="243"/>
      <c r="AW132" s="243"/>
      <c r="AX132" s="243"/>
      <c r="AY132" s="243"/>
      <c r="AZ132" s="243"/>
      <c r="BA132" s="243"/>
      <c r="BB132" s="244"/>
      <c r="BC132" s="224"/>
    </row>
    <row r="133" spans="6:59">
      <c r="H133" s="164"/>
      <c r="K133" s="165"/>
      <c r="L133" s="243"/>
      <c r="M133" s="243"/>
      <c r="N133" s="243"/>
      <c r="O133" s="243"/>
      <c r="P133" s="243"/>
      <c r="Q133" s="243"/>
      <c r="R133" s="243"/>
      <c r="S133" s="243"/>
      <c r="T133" s="243"/>
      <c r="U133" s="243"/>
      <c r="V133" s="243"/>
      <c r="W133" s="243"/>
      <c r="X133" s="244"/>
      <c r="Y133" s="224"/>
      <c r="AL133" s="234"/>
      <c r="AM133" s="235"/>
      <c r="AN133" s="235"/>
      <c r="AO133" s="236"/>
      <c r="AP133" s="243"/>
      <c r="AQ133" s="243"/>
      <c r="AR133" s="243"/>
      <c r="AS133" s="243"/>
      <c r="AT133" s="243"/>
      <c r="AU133" s="243"/>
      <c r="AV133" s="243"/>
      <c r="AW133" s="243"/>
      <c r="AX133" s="243"/>
      <c r="AY133" s="243"/>
      <c r="AZ133" s="243"/>
      <c r="BA133" s="243"/>
      <c r="BB133" s="244"/>
      <c r="BC133" s="224"/>
    </row>
    <row r="134" spans="6:59" ht="13.5" thickBot="1">
      <c r="H134" s="166"/>
      <c r="I134" s="167"/>
      <c r="J134" s="167"/>
      <c r="K134" s="229" t="s">
        <v>241</v>
      </c>
      <c r="L134" s="246"/>
      <c r="M134" s="246"/>
      <c r="N134" s="246"/>
      <c r="O134" s="246"/>
      <c r="P134" s="246"/>
      <c r="Q134" s="246"/>
      <c r="R134" s="246"/>
      <c r="S134" s="246"/>
      <c r="T134" s="247" t="s">
        <v>241</v>
      </c>
      <c r="U134" s="246"/>
      <c r="V134" s="246"/>
      <c r="W134" s="246"/>
      <c r="X134" s="248"/>
      <c r="Y134" s="224"/>
      <c r="AL134" s="238"/>
      <c r="AM134" s="239"/>
      <c r="AN134" s="239"/>
      <c r="AO134" s="240" t="s">
        <v>241</v>
      </c>
      <c r="AP134" s="246"/>
      <c r="AQ134" s="246"/>
      <c r="AR134" s="246"/>
      <c r="AS134" s="246"/>
      <c r="AT134" s="246"/>
      <c r="AU134" s="246"/>
      <c r="AV134" s="246"/>
      <c r="AW134" s="246"/>
      <c r="AX134" s="247" t="s">
        <v>241</v>
      </c>
      <c r="AY134" s="246"/>
      <c r="AZ134" s="246"/>
      <c r="BA134" s="246"/>
      <c r="BB134" s="248"/>
      <c r="BC134" s="224"/>
    </row>
    <row r="135" spans="6:59">
      <c r="Z135" s="225"/>
      <c r="AA135" s="226" t="s">
        <v>232</v>
      </c>
      <c r="AB135" s="225"/>
      <c r="AC135" s="225"/>
      <c r="BD135" s="225"/>
      <c r="BE135" s="226" t="s">
        <v>232</v>
      </c>
      <c r="BF135" s="225"/>
      <c r="BG135" s="225"/>
    </row>
    <row r="136" spans="6:59">
      <c r="F136" s="222"/>
      <c r="G136" s="222"/>
      <c r="H136" s="222"/>
      <c r="I136" s="222"/>
      <c r="J136" s="222"/>
      <c r="K136" s="222"/>
      <c r="L136" s="222"/>
      <c r="M136" s="222"/>
      <c r="N136" s="222"/>
      <c r="O136" s="222"/>
      <c r="P136" s="222"/>
      <c r="Q136" s="222"/>
      <c r="R136" s="222"/>
      <c r="S136" s="222"/>
      <c r="T136" s="222"/>
      <c r="U136" s="222"/>
      <c r="V136" s="222"/>
      <c r="W136" s="222"/>
      <c r="X136" s="223"/>
      <c r="Y136" s="224"/>
      <c r="AJ136" s="222"/>
      <c r="AK136" s="222"/>
      <c r="AL136" s="222"/>
      <c r="AM136" s="222"/>
      <c r="AN136" s="222"/>
      <c r="AO136" s="222"/>
      <c r="AP136" s="222"/>
      <c r="AQ136" s="222"/>
      <c r="AR136" s="222"/>
      <c r="AS136" s="222"/>
      <c r="AT136" s="222"/>
      <c r="AU136" s="222"/>
      <c r="AV136" s="222"/>
      <c r="AW136" s="222"/>
      <c r="AX136" s="222"/>
      <c r="AY136" s="222"/>
      <c r="AZ136" s="222"/>
      <c r="BA136" s="222"/>
      <c r="BB136" s="223"/>
      <c r="BC136" s="224"/>
    </row>
    <row r="137" spans="6:59">
      <c r="X137" s="224"/>
      <c r="Y137" s="224"/>
      <c r="BB137" s="224"/>
      <c r="BC137" s="224"/>
    </row>
    <row r="138" spans="6:59">
      <c r="X138" s="224"/>
      <c r="Y138" s="224"/>
      <c r="AM138" s="228" t="s">
        <v>256</v>
      </c>
      <c r="BB138" s="224"/>
      <c r="BC138" s="224"/>
    </row>
    <row r="139" spans="6:59">
      <c r="X139" s="224"/>
      <c r="Y139" s="224"/>
      <c r="AM139" s="228" t="s">
        <v>257</v>
      </c>
      <c r="BB139" s="224"/>
      <c r="BC139" s="224"/>
    </row>
    <row r="140" spans="6:59">
      <c r="X140" s="224"/>
      <c r="Y140" s="224"/>
      <c r="BB140" s="224"/>
      <c r="BC140" s="224"/>
    </row>
    <row r="143" spans="6:59" s="112" customFormat="1"/>
    <row r="144" spans="6:59" s="112" customFormat="1"/>
    <row r="145" spans="71:71" s="112" customFormat="1"/>
    <row r="156" spans="71:71">
      <c r="BS156" s="15"/>
    </row>
    <row r="157" spans="71:71">
      <c r="BS157" s="15"/>
    </row>
    <row r="158" spans="71:71">
      <c r="BS158" s="15"/>
    </row>
    <row r="159" spans="71:71">
      <c r="BS159" s="15"/>
    </row>
    <row r="160" spans="71:71">
      <c r="BS160" s="15"/>
    </row>
    <row r="161" spans="62:83">
      <c r="BS161" s="15"/>
    </row>
    <row r="162" spans="62:83">
      <c r="BS162" s="15"/>
    </row>
    <row r="163" spans="62:83">
      <c r="BS163" s="15"/>
    </row>
    <row r="166" spans="62:83">
      <c r="BJ166" s="257"/>
      <c r="BK166" s="222"/>
      <c r="BL166" s="222"/>
      <c r="BM166" s="222"/>
      <c r="BN166" s="222"/>
      <c r="BO166" s="222"/>
      <c r="BP166" s="222"/>
      <c r="BQ166" s="222"/>
      <c r="BR166" s="222"/>
      <c r="BS166" s="222"/>
      <c r="BT166" s="222"/>
      <c r="BU166" s="222"/>
      <c r="BV166" s="222"/>
      <c r="BW166" s="222"/>
      <c r="BX166" s="222"/>
      <c r="BY166" s="222"/>
      <c r="BZ166" s="222"/>
      <c r="CA166" s="222"/>
      <c r="CB166" s="222"/>
      <c r="CC166" s="222"/>
      <c r="CD166" s="222"/>
      <c r="CE166" s="223"/>
    </row>
    <row r="167" spans="62:83">
      <c r="BJ167" s="258"/>
      <c r="BT167" s="443" t="s">
        <v>248</v>
      </c>
      <c r="BU167" s="444"/>
      <c r="BV167" s="445"/>
      <c r="BX167" s="446" t="s">
        <v>245</v>
      </c>
      <c r="BY167" s="447"/>
      <c r="BZ167" s="448"/>
      <c r="CB167" s="449" t="s">
        <v>247</v>
      </c>
      <c r="CC167" s="450"/>
      <c r="CD167" s="451"/>
      <c r="CE167" s="224"/>
    </row>
    <row r="168" spans="62:83">
      <c r="BJ168" s="258"/>
      <c r="CB168" s="145"/>
      <c r="CC168" s="145"/>
      <c r="CD168" s="145"/>
      <c r="CE168" s="224"/>
    </row>
    <row r="169" spans="62:83">
      <c r="BJ169" s="258"/>
      <c r="BS169" s="15" t="s">
        <v>246</v>
      </c>
      <c r="BT169" s="433">
        <v>693</v>
      </c>
      <c r="BU169" s="434"/>
      <c r="BV169" s="435"/>
      <c r="BX169" s="433">
        <v>572</v>
      </c>
      <c r="BY169" s="434"/>
      <c r="BZ169" s="435"/>
      <c r="CB169" s="453">
        <f>BT169-BX169</f>
        <v>121</v>
      </c>
      <c r="CC169" s="454"/>
      <c r="CD169" s="455"/>
      <c r="CE169" s="224"/>
    </row>
    <row r="170" spans="62:83">
      <c r="BJ170" s="258"/>
      <c r="BS170" s="15"/>
      <c r="BT170" s="434"/>
      <c r="BU170" s="434"/>
      <c r="BV170" s="434"/>
      <c r="BX170" s="434"/>
      <c r="BY170" s="434"/>
      <c r="BZ170" s="434"/>
      <c r="CB170" s="454"/>
      <c r="CC170" s="454"/>
      <c r="CD170" s="454"/>
      <c r="CE170" s="224"/>
    </row>
    <row r="171" spans="62:83">
      <c r="BJ171" s="258"/>
      <c r="BS171" s="259" t="s">
        <v>249</v>
      </c>
      <c r="BT171" s="436">
        <v>2.0097</v>
      </c>
      <c r="BU171" s="437"/>
      <c r="BV171" s="438"/>
      <c r="BX171" s="436">
        <v>1.6588000000000001</v>
      </c>
      <c r="BY171" s="437"/>
      <c r="BZ171" s="438"/>
      <c r="CB171" s="439">
        <f>BT171-BX171</f>
        <v>0.35089999999999999</v>
      </c>
      <c r="CC171" s="440"/>
      <c r="CD171" s="441"/>
      <c r="CE171" s="224"/>
    </row>
    <row r="172" spans="62:83">
      <c r="BJ172" s="258"/>
      <c r="BS172" s="259" t="s">
        <v>250</v>
      </c>
      <c r="BT172" s="436">
        <v>1.6632</v>
      </c>
      <c r="BU172" s="437"/>
      <c r="BV172" s="438"/>
      <c r="BX172" s="436">
        <v>1.3728</v>
      </c>
      <c r="BY172" s="437"/>
      <c r="BZ172" s="438"/>
      <c r="CB172" s="439">
        <f>BT172-BX172</f>
        <v>0.29039999999999999</v>
      </c>
      <c r="CC172" s="440"/>
      <c r="CD172" s="441"/>
      <c r="CE172" s="224"/>
    </row>
    <row r="173" spans="62:83">
      <c r="BJ173" s="260"/>
      <c r="BK173" s="261"/>
      <c r="BL173" s="261"/>
      <c r="BM173" s="261"/>
      <c r="BN173" s="261"/>
      <c r="BO173" s="261"/>
      <c r="BP173" s="261"/>
      <c r="BQ173" s="261"/>
      <c r="BR173" s="261"/>
      <c r="BS173" s="262"/>
      <c r="BT173" s="452"/>
      <c r="BU173" s="452"/>
      <c r="BV173" s="452"/>
      <c r="BW173" s="261"/>
      <c r="BX173" s="452"/>
      <c r="BY173" s="452"/>
      <c r="BZ173" s="452"/>
      <c r="CA173" s="261"/>
      <c r="CB173" s="442"/>
      <c r="CC173" s="442"/>
      <c r="CD173" s="442"/>
      <c r="CE173" s="263"/>
    </row>
  </sheetData>
  <sheetProtection algorithmName="SHA-512" hashValue="i0tUc7jg6SzwT8B0nitPOpfsSxC7VujQC8r8RSSqWa7zCtvHcz999Ehed3SGwUBDbNIL7yoX8nYmNOCZPten9w==" saltValue="bQ56GNKm/zejtfrZSDv8Tw==" spinCount="100000" sheet="1" objects="1" scenarios="1"/>
  <mergeCells count="19">
    <mergeCell ref="CB172:CD172"/>
    <mergeCell ref="CB173:CD173"/>
    <mergeCell ref="BT167:BV167"/>
    <mergeCell ref="BX167:BZ167"/>
    <mergeCell ref="CB167:CD167"/>
    <mergeCell ref="BX169:BZ169"/>
    <mergeCell ref="BX170:BZ170"/>
    <mergeCell ref="BX171:BZ171"/>
    <mergeCell ref="BX172:BZ172"/>
    <mergeCell ref="BX173:BZ173"/>
    <mergeCell ref="CB169:CD169"/>
    <mergeCell ref="CB170:CD170"/>
    <mergeCell ref="CB171:CD171"/>
    <mergeCell ref="BT173:BV173"/>
    <mergeCell ref="AQ27:AU28"/>
    <mergeCell ref="BT169:BV169"/>
    <mergeCell ref="BT170:BV170"/>
    <mergeCell ref="BT171:BV171"/>
    <mergeCell ref="BT172:BV17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499984740745262"/>
  </sheetPr>
  <dimension ref="A1:R47"/>
  <sheetViews>
    <sheetView zoomScaleNormal="100" workbookViewId="0">
      <pane xSplit="3" ySplit="10" topLeftCell="D11" activePane="bottomRight" state="frozen"/>
      <selection activeCell="A19" sqref="A19:XFD19"/>
      <selection pane="topRight" activeCell="A19" sqref="A19:XFD19"/>
      <selection pane="bottomLeft" activeCell="A19" sqref="A19:XFD19"/>
      <selection pane="bottomRight" activeCell="C26" sqref="C26"/>
    </sheetView>
  </sheetViews>
  <sheetFormatPr defaultColWidth="9.28515625" defaultRowHeight="12.75"/>
  <cols>
    <col min="1" max="1" width="22.85546875" style="7" customWidth="1"/>
    <col min="2" max="2" width="31" style="7" customWidth="1"/>
    <col min="3" max="3" width="22.85546875" style="4" customWidth="1"/>
    <col min="4" max="4" width="30.28515625" style="4" customWidth="1"/>
    <col min="5" max="5" width="24.5703125" style="5" customWidth="1"/>
    <col min="6" max="6" width="52.5703125" style="4" customWidth="1"/>
    <col min="7" max="7" width="42.28515625" style="4" customWidth="1"/>
    <col min="8" max="8" width="15.7109375" style="4" customWidth="1"/>
    <col min="9" max="9" width="18.140625" style="13" customWidth="1"/>
    <col min="10" max="11" width="14.28515625" style="4" customWidth="1"/>
    <col min="12" max="12" width="9.85546875" style="4" customWidth="1"/>
    <col min="13" max="13" width="8.7109375" style="4" customWidth="1"/>
    <col min="14" max="14" width="15" style="4" bestFit="1" customWidth="1"/>
    <col min="15" max="15" width="22.140625" style="4" customWidth="1"/>
    <col min="16" max="16" width="33.85546875" style="4" customWidth="1"/>
    <col min="17" max="16384" width="9.28515625" style="4"/>
  </cols>
  <sheetData>
    <row r="1" spans="1:16" ht="18">
      <c r="A1" s="9" t="s">
        <v>115</v>
      </c>
      <c r="I1" s="4"/>
    </row>
    <row r="2" spans="1:16">
      <c r="I2" s="4"/>
    </row>
    <row r="3" spans="1:16" s="1" customFormat="1" ht="11.25">
      <c r="A3" s="6" t="s">
        <v>294</v>
      </c>
      <c r="B3" s="6"/>
      <c r="E3" s="2"/>
    </row>
    <row r="4" spans="1:16" s="1" customFormat="1" ht="11.25">
      <c r="A4" s="6"/>
      <c r="B4" s="6"/>
      <c r="E4" s="2"/>
    </row>
    <row r="5" spans="1:16" s="1" customFormat="1" ht="11.25" hidden="1">
      <c r="A5" s="6"/>
      <c r="B5" s="6"/>
      <c r="E5" s="2"/>
    </row>
    <row r="6" spans="1:16" s="1" customFormat="1" ht="11.25" hidden="1">
      <c r="A6" s="6"/>
      <c r="B6" s="6"/>
      <c r="E6" s="2"/>
    </row>
    <row r="7" spans="1:16" s="1" customFormat="1" ht="11.25" hidden="1">
      <c r="A7" s="6"/>
      <c r="B7" s="6"/>
      <c r="E7" s="2"/>
    </row>
    <row r="8" spans="1:16" s="1" customFormat="1" ht="11.25" hidden="1">
      <c r="A8" s="6"/>
      <c r="B8" s="6"/>
      <c r="E8" s="2"/>
    </row>
    <row r="9" spans="1:16" s="1" customFormat="1">
      <c r="A9" s="272">
        <f>SUBTOTAL(3, A11:A46)</f>
        <v>36</v>
      </c>
      <c r="B9" s="57">
        <v>1</v>
      </c>
      <c r="C9" s="57">
        <v>2</v>
      </c>
      <c r="D9" s="57">
        <v>3</v>
      </c>
      <c r="E9" s="57">
        <v>4</v>
      </c>
      <c r="F9" s="57">
        <v>5</v>
      </c>
      <c r="G9" s="57">
        <v>6</v>
      </c>
      <c r="H9" s="57">
        <v>7</v>
      </c>
      <c r="I9" s="57">
        <v>8</v>
      </c>
      <c r="J9" s="57">
        <v>9</v>
      </c>
      <c r="K9" s="57">
        <v>10</v>
      </c>
      <c r="L9" s="456" t="s">
        <v>319</v>
      </c>
      <c r="M9" s="456"/>
      <c r="N9" s="456"/>
    </row>
    <row r="10" spans="1:16" s="3" customFormat="1" ht="43.5" customHeight="1">
      <c r="A10" s="46" t="s">
        <v>4</v>
      </c>
      <c r="B10" s="46" t="s">
        <v>5</v>
      </c>
      <c r="C10" s="47" t="s">
        <v>6</v>
      </c>
      <c r="D10" s="47" t="s">
        <v>7</v>
      </c>
      <c r="E10" s="48" t="s">
        <v>114</v>
      </c>
      <c r="F10" s="47" t="s">
        <v>8</v>
      </c>
      <c r="G10" s="48" t="s">
        <v>9</v>
      </c>
      <c r="H10" s="49" t="s">
        <v>109</v>
      </c>
      <c r="I10" s="49" t="s">
        <v>39</v>
      </c>
      <c r="J10" s="49" t="s">
        <v>113</v>
      </c>
      <c r="K10" s="49" t="s">
        <v>86</v>
      </c>
      <c r="L10" s="368" t="s">
        <v>316</v>
      </c>
      <c r="M10" s="368" t="s">
        <v>317</v>
      </c>
      <c r="N10" s="368" t="s">
        <v>318</v>
      </c>
      <c r="O10" s="271"/>
      <c r="P10" s="271"/>
    </row>
    <row r="11" spans="1:16" s="26" customFormat="1">
      <c r="A11" s="275" t="s">
        <v>3</v>
      </c>
      <c r="B11" s="275" t="s">
        <v>74</v>
      </c>
      <c r="C11" s="275" t="s">
        <v>10</v>
      </c>
      <c r="D11" s="275" t="s">
        <v>299</v>
      </c>
      <c r="E11" s="276">
        <v>750</v>
      </c>
      <c r="F11" s="275" t="s">
        <v>300</v>
      </c>
      <c r="G11" s="277" t="s">
        <v>80</v>
      </c>
      <c r="H11" s="275" t="s">
        <v>3</v>
      </c>
      <c r="I11" s="278" t="s">
        <v>320</v>
      </c>
      <c r="J11" s="275">
        <v>500</v>
      </c>
      <c r="K11" s="275">
        <v>350</v>
      </c>
      <c r="L11" s="366">
        <v>3.5</v>
      </c>
      <c r="M11" s="367">
        <v>150</v>
      </c>
      <c r="N11" s="367">
        <f>L11*M11</f>
        <v>525</v>
      </c>
    </row>
    <row r="12" spans="1:16" s="26" customFormat="1">
      <c r="A12" s="275" t="s">
        <v>3</v>
      </c>
      <c r="B12" s="279" t="s">
        <v>75</v>
      </c>
      <c r="C12" s="275" t="s">
        <v>10</v>
      </c>
      <c r="D12" s="275" t="s">
        <v>299</v>
      </c>
      <c r="E12" s="276">
        <v>700</v>
      </c>
      <c r="F12" s="275" t="s">
        <v>300</v>
      </c>
      <c r="G12" s="277" t="s">
        <v>81</v>
      </c>
      <c r="H12" s="275" t="s">
        <v>3</v>
      </c>
      <c r="I12" s="278" t="s">
        <v>320</v>
      </c>
      <c r="J12" s="275">
        <v>500</v>
      </c>
      <c r="K12" s="275">
        <v>350</v>
      </c>
      <c r="L12" s="366">
        <v>3</v>
      </c>
      <c r="M12" s="367">
        <v>150</v>
      </c>
      <c r="N12" s="367">
        <f t="shared" ref="N12:N16" si="0">L12*M12</f>
        <v>450</v>
      </c>
    </row>
    <row r="13" spans="1:16" s="26" customFormat="1">
      <c r="A13" s="275" t="s">
        <v>3</v>
      </c>
      <c r="B13" s="275" t="s">
        <v>76</v>
      </c>
      <c r="C13" s="275" t="s">
        <v>10</v>
      </c>
      <c r="D13" s="275" t="s">
        <v>299</v>
      </c>
      <c r="E13" s="276">
        <v>630</v>
      </c>
      <c r="F13" s="275" t="s">
        <v>300</v>
      </c>
      <c r="G13" s="277" t="s">
        <v>82</v>
      </c>
      <c r="H13" s="275" t="s">
        <v>3</v>
      </c>
      <c r="I13" s="278" t="s">
        <v>320</v>
      </c>
      <c r="J13" s="275">
        <v>375</v>
      </c>
      <c r="K13" s="275">
        <v>320</v>
      </c>
      <c r="L13" s="366">
        <v>2.5</v>
      </c>
      <c r="M13" s="367">
        <v>150</v>
      </c>
      <c r="N13" s="367">
        <f t="shared" si="0"/>
        <v>375</v>
      </c>
    </row>
    <row r="14" spans="1:16" s="26" customFormat="1">
      <c r="A14" s="275" t="s">
        <v>3</v>
      </c>
      <c r="B14" s="275" t="s">
        <v>77</v>
      </c>
      <c r="C14" s="275" t="s">
        <v>10</v>
      </c>
      <c r="D14" s="275" t="s">
        <v>299</v>
      </c>
      <c r="E14" s="276">
        <v>530</v>
      </c>
      <c r="F14" s="275" t="s">
        <v>300</v>
      </c>
      <c r="G14" s="277" t="s">
        <v>83</v>
      </c>
      <c r="H14" s="275" t="s">
        <v>3</v>
      </c>
      <c r="I14" s="278" t="s">
        <v>320</v>
      </c>
      <c r="J14" s="275">
        <v>375</v>
      </c>
      <c r="K14" s="275">
        <v>300</v>
      </c>
      <c r="L14" s="366">
        <v>2.5</v>
      </c>
      <c r="M14" s="367">
        <v>150</v>
      </c>
      <c r="N14" s="367">
        <f t="shared" si="0"/>
        <v>375</v>
      </c>
    </row>
    <row r="15" spans="1:16" s="26" customFormat="1">
      <c r="A15" s="275" t="s">
        <v>3</v>
      </c>
      <c r="B15" s="275" t="s">
        <v>78</v>
      </c>
      <c r="C15" s="275" t="s">
        <v>10</v>
      </c>
      <c r="D15" s="275" t="s">
        <v>299</v>
      </c>
      <c r="E15" s="276">
        <v>440</v>
      </c>
      <c r="F15" s="275" t="s">
        <v>300</v>
      </c>
      <c r="G15" s="277" t="s">
        <v>84</v>
      </c>
      <c r="H15" s="275" t="s">
        <v>3</v>
      </c>
      <c r="I15" s="278" t="s">
        <v>320</v>
      </c>
      <c r="J15" s="275">
        <v>375</v>
      </c>
      <c r="K15" s="275">
        <v>250</v>
      </c>
      <c r="L15" s="366">
        <v>2.5</v>
      </c>
      <c r="M15" s="367">
        <v>150</v>
      </c>
      <c r="N15" s="367">
        <f t="shared" si="0"/>
        <v>375</v>
      </c>
    </row>
    <row r="16" spans="1:16" s="26" customFormat="1">
      <c r="A16" s="275" t="s">
        <v>3</v>
      </c>
      <c r="B16" s="275" t="s">
        <v>79</v>
      </c>
      <c r="C16" s="275" t="s">
        <v>10</v>
      </c>
      <c r="D16" s="275" t="s">
        <v>299</v>
      </c>
      <c r="E16" s="276">
        <v>420</v>
      </c>
      <c r="F16" s="275" t="s">
        <v>300</v>
      </c>
      <c r="G16" s="277" t="s">
        <v>85</v>
      </c>
      <c r="H16" s="275" t="s">
        <v>3</v>
      </c>
      <c r="I16" s="278" t="s">
        <v>320</v>
      </c>
      <c r="J16" s="275">
        <v>375</v>
      </c>
      <c r="K16" s="275">
        <v>220</v>
      </c>
      <c r="L16" s="366">
        <v>2.5</v>
      </c>
      <c r="M16" s="367">
        <v>150</v>
      </c>
      <c r="N16" s="367">
        <f t="shared" si="0"/>
        <v>375</v>
      </c>
    </row>
    <row r="17" spans="1:18" s="8" customFormat="1">
      <c r="A17" s="50" t="s">
        <v>11</v>
      </c>
      <c r="B17" s="50" t="s">
        <v>276</v>
      </c>
      <c r="C17" s="50" t="s">
        <v>291</v>
      </c>
      <c r="D17" s="50" t="s">
        <v>268</v>
      </c>
      <c r="E17" s="51">
        <v>220</v>
      </c>
      <c r="F17" s="50" t="s">
        <v>120</v>
      </c>
      <c r="G17" s="274" t="s">
        <v>295</v>
      </c>
      <c r="H17" s="50" t="s">
        <v>12</v>
      </c>
      <c r="I17" s="52">
        <v>0.95</v>
      </c>
      <c r="J17" s="278">
        <f>2/3</f>
        <v>0.66666666666666663</v>
      </c>
      <c r="K17" s="278">
        <f>1/3</f>
        <v>0.33333333333333331</v>
      </c>
      <c r="M17" s="270"/>
    </row>
    <row r="18" spans="1:18" s="8" customFormat="1">
      <c r="A18" s="50" t="s">
        <v>11</v>
      </c>
      <c r="B18" s="50" t="s">
        <v>277</v>
      </c>
      <c r="C18" s="50" t="s">
        <v>289</v>
      </c>
      <c r="D18" s="50" t="s">
        <v>290</v>
      </c>
      <c r="E18" s="51">
        <v>2</v>
      </c>
      <c r="F18" s="50" t="s">
        <v>321</v>
      </c>
      <c r="G18" s="274" t="s">
        <v>295</v>
      </c>
      <c r="H18" s="50" t="s">
        <v>12</v>
      </c>
      <c r="I18" s="52">
        <v>0.95</v>
      </c>
      <c r="J18" s="278">
        <f t="shared" ref="J18:J46" si="1">2/3</f>
        <v>0.66666666666666663</v>
      </c>
      <c r="K18" s="278">
        <f t="shared" ref="K18:K46" si="2">1/3</f>
        <v>0.33333333333333331</v>
      </c>
      <c r="M18" s="270"/>
    </row>
    <row r="19" spans="1:18" s="8" customFormat="1">
      <c r="A19" s="50" t="s">
        <v>11</v>
      </c>
      <c r="B19" s="50" t="s">
        <v>13</v>
      </c>
      <c r="C19" s="50" t="s">
        <v>289</v>
      </c>
      <c r="D19" s="50" t="s">
        <v>290</v>
      </c>
      <c r="E19" s="51">
        <v>2.5</v>
      </c>
      <c r="F19" s="50" t="s">
        <v>321</v>
      </c>
      <c r="G19" s="274" t="s">
        <v>295</v>
      </c>
      <c r="H19" s="50" t="s">
        <v>12</v>
      </c>
      <c r="I19" s="52">
        <v>0.95</v>
      </c>
      <c r="J19" s="278">
        <f t="shared" si="1"/>
        <v>0.66666666666666663</v>
      </c>
      <c r="K19" s="278">
        <f t="shared" si="2"/>
        <v>0.33333333333333331</v>
      </c>
      <c r="M19" s="270"/>
    </row>
    <row r="20" spans="1:18" s="8" customFormat="1">
      <c r="A20" s="50" t="s">
        <v>11</v>
      </c>
      <c r="B20" s="53" t="s">
        <v>278</v>
      </c>
      <c r="C20" s="50" t="s">
        <v>292</v>
      </c>
      <c r="D20" s="50" t="s">
        <v>269</v>
      </c>
      <c r="E20" s="51">
        <v>390</v>
      </c>
      <c r="F20" s="50" t="s">
        <v>121</v>
      </c>
      <c r="G20" s="274" t="s">
        <v>295</v>
      </c>
      <c r="H20" s="50" t="s">
        <v>12</v>
      </c>
      <c r="I20" s="52">
        <v>0.95</v>
      </c>
      <c r="J20" s="278">
        <f t="shared" si="1"/>
        <v>0.66666666666666663</v>
      </c>
      <c r="K20" s="278">
        <f t="shared" si="2"/>
        <v>0.33333333333333331</v>
      </c>
      <c r="M20" s="270"/>
    </row>
    <row r="21" spans="1:18" s="8" customFormat="1">
      <c r="A21" s="50" t="s">
        <v>11</v>
      </c>
      <c r="B21" s="53" t="s">
        <v>14</v>
      </c>
      <c r="C21" s="50" t="s">
        <v>289</v>
      </c>
      <c r="D21" s="50" t="s">
        <v>290</v>
      </c>
      <c r="E21" s="51">
        <v>0.4</v>
      </c>
      <c r="F21" s="50" t="s">
        <v>321</v>
      </c>
      <c r="G21" s="274" t="s">
        <v>295</v>
      </c>
      <c r="H21" s="50" t="s">
        <v>12</v>
      </c>
      <c r="I21" s="52">
        <v>0.95</v>
      </c>
      <c r="J21" s="278">
        <f t="shared" si="1"/>
        <v>0.66666666666666663</v>
      </c>
      <c r="K21" s="278">
        <f t="shared" si="2"/>
        <v>0.33333333333333331</v>
      </c>
      <c r="M21" s="270"/>
    </row>
    <row r="22" spans="1:18" s="8" customFormat="1">
      <c r="A22" s="50" t="s">
        <v>11</v>
      </c>
      <c r="B22" s="53" t="s">
        <v>15</v>
      </c>
      <c r="C22" s="50" t="s">
        <v>289</v>
      </c>
      <c r="D22" s="50" t="s">
        <v>290</v>
      </c>
      <c r="E22" s="51">
        <v>2</v>
      </c>
      <c r="F22" s="67" t="s">
        <v>321</v>
      </c>
      <c r="G22" s="274" t="s">
        <v>295</v>
      </c>
      <c r="H22" s="50" t="s">
        <v>12</v>
      </c>
      <c r="I22" s="52">
        <v>0.95</v>
      </c>
      <c r="J22" s="278">
        <f t="shared" si="1"/>
        <v>0.66666666666666663</v>
      </c>
      <c r="K22" s="278">
        <f t="shared" si="2"/>
        <v>0.33333333333333331</v>
      </c>
      <c r="M22" s="270"/>
    </row>
    <row r="23" spans="1:18" s="8" customFormat="1">
      <c r="A23" s="59" t="s">
        <v>11</v>
      </c>
      <c r="B23" s="59" t="s">
        <v>279</v>
      </c>
      <c r="C23" s="59"/>
      <c r="D23" s="59" t="s">
        <v>288</v>
      </c>
      <c r="E23" s="59" t="s">
        <v>108</v>
      </c>
      <c r="F23" s="59" t="s">
        <v>327</v>
      </c>
      <c r="G23" s="129"/>
      <c r="H23" s="59" t="s">
        <v>162</v>
      </c>
      <c r="I23" s="52">
        <v>0.95</v>
      </c>
      <c r="J23" s="278">
        <f t="shared" si="1"/>
        <v>0.66666666666666663</v>
      </c>
      <c r="K23" s="278">
        <f t="shared" si="2"/>
        <v>0.33333333333333331</v>
      </c>
      <c r="M23" s="55"/>
    </row>
    <row r="24" spans="1:18" s="8" customFormat="1">
      <c r="A24" s="50" t="s">
        <v>11</v>
      </c>
      <c r="B24" s="53" t="s">
        <v>280</v>
      </c>
      <c r="C24" s="50" t="s">
        <v>289</v>
      </c>
      <c r="D24" s="50" t="s">
        <v>290</v>
      </c>
      <c r="E24" s="51">
        <v>2.5</v>
      </c>
      <c r="F24" s="50" t="s">
        <v>321</v>
      </c>
      <c r="G24" s="274" t="s">
        <v>295</v>
      </c>
      <c r="H24" s="50" t="s">
        <v>12</v>
      </c>
      <c r="I24" s="52">
        <v>0.95</v>
      </c>
      <c r="J24" s="278">
        <f t="shared" si="1"/>
        <v>0.66666666666666663</v>
      </c>
      <c r="K24" s="278">
        <f t="shared" si="2"/>
        <v>0.33333333333333331</v>
      </c>
      <c r="M24" s="270"/>
    </row>
    <row r="25" spans="1:18" s="8" customFormat="1">
      <c r="A25" s="50" t="s">
        <v>11</v>
      </c>
      <c r="B25" s="50" t="s">
        <v>16</v>
      </c>
      <c r="C25" s="50" t="s">
        <v>289</v>
      </c>
      <c r="D25" s="50" t="s">
        <v>290</v>
      </c>
      <c r="E25" s="51">
        <v>1.5</v>
      </c>
      <c r="F25" s="50" t="s">
        <v>321</v>
      </c>
      <c r="G25" s="274" t="s">
        <v>295</v>
      </c>
      <c r="H25" s="50" t="s">
        <v>12</v>
      </c>
      <c r="I25" s="52">
        <v>0.95</v>
      </c>
      <c r="J25" s="278">
        <f t="shared" si="1"/>
        <v>0.66666666666666663</v>
      </c>
      <c r="K25" s="278">
        <f t="shared" si="2"/>
        <v>0.33333333333333331</v>
      </c>
      <c r="M25" s="270"/>
    </row>
    <row r="26" spans="1:18" s="8" customFormat="1">
      <c r="A26" s="50" t="s">
        <v>11</v>
      </c>
      <c r="B26" s="50" t="s">
        <v>281</v>
      </c>
      <c r="C26" s="50" t="s">
        <v>289</v>
      </c>
      <c r="D26" s="50" t="s">
        <v>290</v>
      </c>
      <c r="E26" s="51">
        <v>1.5</v>
      </c>
      <c r="F26" s="50" t="s">
        <v>321</v>
      </c>
      <c r="G26" s="274" t="s">
        <v>295</v>
      </c>
      <c r="H26" s="50" t="s">
        <v>12</v>
      </c>
      <c r="I26" s="52">
        <v>0.95</v>
      </c>
      <c r="J26" s="278">
        <f t="shared" si="1"/>
        <v>0.66666666666666663</v>
      </c>
      <c r="K26" s="278">
        <f t="shared" si="2"/>
        <v>0.33333333333333331</v>
      </c>
      <c r="M26" s="270"/>
    </row>
    <row r="27" spans="1:18" s="8" customFormat="1">
      <c r="A27" s="50" t="s">
        <v>11</v>
      </c>
      <c r="B27" s="50" t="s">
        <v>17</v>
      </c>
      <c r="C27" s="50" t="s">
        <v>289</v>
      </c>
      <c r="D27" s="50" t="s">
        <v>290</v>
      </c>
      <c r="E27" s="51">
        <v>0.6</v>
      </c>
      <c r="F27" s="50" t="s">
        <v>321</v>
      </c>
      <c r="G27" s="274" t="s">
        <v>295</v>
      </c>
      <c r="H27" s="50" t="s">
        <v>12</v>
      </c>
      <c r="I27" s="52">
        <v>0.95</v>
      </c>
      <c r="J27" s="278">
        <f t="shared" si="1"/>
        <v>0.66666666666666663</v>
      </c>
      <c r="K27" s="278">
        <f t="shared" si="2"/>
        <v>0.33333333333333331</v>
      </c>
      <c r="M27" s="270"/>
    </row>
    <row r="28" spans="1:18" s="8" customFormat="1">
      <c r="A28" s="50" t="s">
        <v>11</v>
      </c>
      <c r="B28" s="50" t="s">
        <v>282</v>
      </c>
      <c r="C28" s="50" t="s">
        <v>289</v>
      </c>
      <c r="D28" s="50" t="s">
        <v>290</v>
      </c>
      <c r="E28" s="51">
        <v>0.6</v>
      </c>
      <c r="F28" s="50" t="s">
        <v>321</v>
      </c>
      <c r="G28" s="274" t="s">
        <v>295</v>
      </c>
      <c r="H28" s="50" t="s">
        <v>12</v>
      </c>
      <c r="I28" s="52">
        <v>0.95</v>
      </c>
      <c r="J28" s="278">
        <f t="shared" si="1"/>
        <v>0.66666666666666663</v>
      </c>
      <c r="K28" s="278">
        <f t="shared" si="2"/>
        <v>0.33333333333333331</v>
      </c>
      <c r="M28" s="270"/>
    </row>
    <row r="29" spans="1:18" s="8" customFormat="1">
      <c r="A29" s="59" t="s">
        <v>11</v>
      </c>
      <c r="B29" s="59" t="s">
        <v>285</v>
      </c>
      <c r="C29" s="59"/>
      <c r="D29" s="59" t="s">
        <v>288</v>
      </c>
      <c r="E29" s="59" t="s">
        <v>108</v>
      </c>
      <c r="F29" s="59" t="s">
        <v>327</v>
      </c>
      <c r="G29" s="129"/>
      <c r="H29" s="59" t="s">
        <v>162</v>
      </c>
      <c r="I29" s="52">
        <v>0.95</v>
      </c>
      <c r="J29" s="278">
        <f t="shared" si="1"/>
        <v>0.66666666666666663</v>
      </c>
      <c r="K29" s="278">
        <f t="shared" si="2"/>
        <v>0.33333333333333331</v>
      </c>
      <c r="M29" s="55"/>
      <c r="N29" s="269"/>
    </row>
    <row r="30" spans="1:18" s="8" customFormat="1">
      <c r="A30" s="59" t="s">
        <v>11</v>
      </c>
      <c r="B30" s="273" t="s">
        <v>18</v>
      </c>
      <c r="C30" s="59"/>
      <c r="D30" s="59" t="s">
        <v>288</v>
      </c>
      <c r="E30" s="59" t="s">
        <v>108</v>
      </c>
      <c r="F30" s="59" t="s">
        <v>327</v>
      </c>
      <c r="G30" s="59"/>
      <c r="H30" s="59" t="s">
        <v>162</v>
      </c>
      <c r="I30" s="52">
        <v>0.95</v>
      </c>
      <c r="J30" s="278">
        <f t="shared" si="1"/>
        <v>0.66666666666666663</v>
      </c>
      <c r="K30" s="278">
        <f t="shared" si="2"/>
        <v>0.33333333333333331</v>
      </c>
      <c r="M30" s="55"/>
    </row>
    <row r="31" spans="1:18" s="8" customFormat="1">
      <c r="A31" s="129" t="s">
        <v>20</v>
      </c>
      <c r="B31" s="59" t="s">
        <v>21</v>
      </c>
      <c r="C31" s="59"/>
      <c r="D31" s="59" t="s">
        <v>288</v>
      </c>
      <c r="E31" s="59" t="s">
        <v>108</v>
      </c>
      <c r="F31" s="59" t="s">
        <v>327</v>
      </c>
      <c r="G31" s="59"/>
      <c r="H31" s="59" t="s">
        <v>162</v>
      </c>
      <c r="I31" s="52">
        <v>0.95</v>
      </c>
      <c r="J31" s="278">
        <f t="shared" si="1"/>
        <v>0.66666666666666663</v>
      </c>
      <c r="K31" s="278">
        <f t="shared" si="2"/>
        <v>0.33333333333333331</v>
      </c>
      <c r="M31" s="55"/>
    </row>
    <row r="32" spans="1:18">
      <c r="A32" s="129" t="s">
        <v>20</v>
      </c>
      <c r="B32" s="273" t="s">
        <v>22</v>
      </c>
      <c r="C32" s="59"/>
      <c r="D32" s="59" t="s">
        <v>288</v>
      </c>
      <c r="E32" s="59" t="s">
        <v>108</v>
      </c>
      <c r="F32" s="59" t="s">
        <v>327</v>
      </c>
      <c r="G32" s="129"/>
      <c r="H32" s="59" t="s">
        <v>162</v>
      </c>
      <c r="I32" s="52">
        <v>0.95</v>
      </c>
      <c r="J32" s="278">
        <f t="shared" si="1"/>
        <v>0.66666666666666663</v>
      </c>
      <c r="K32" s="278">
        <f t="shared" si="2"/>
        <v>0.33333333333333331</v>
      </c>
      <c r="M32" s="55"/>
      <c r="O32" s="8"/>
      <c r="P32" s="8"/>
      <c r="R32" s="8"/>
    </row>
    <row r="33" spans="1:18">
      <c r="A33" s="129" t="s">
        <v>20</v>
      </c>
      <c r="B33" s="129" t="s">
        <v>23</v>
      </c>
      <c r="C33" s="59"/>
      <c r="D33" s="59" t="s">
        <v>288</v>
      </c>
      <c r="E33" s="59" t="s">
        <v>108</v>
      </c>
      <c r="F33" s="59" t="s">
        <v>327</v>
      </c>
      <c r="G33" s="129"/>
      <c r="H33" s="59" t="s">
        <v>162</v>
      </c>
      <c r="I33" s="52">
        <v>0.95</v>
      </c>
      <c r="J33" s="278">
        <f t="shared" si="1"/>
        <v>0.66666666666666663</v>
      </c>
      <c r="K33" s="278">
        <f t="shared" si="2"/>
        <v>0.33333333333333331</v>
      </c>
      <c r="M33" s="55"/>
      <c r="O33" s="8"/>
      <c r="P33" s="8"/>
      <c r="R33" s="8"/>
    </row>
    <row r="34" spans="1:18">
      <c r="A34" s="129" t="s">
        <v>20</v>
      </c>
      <c r="B34" s="129" t="s">
        <v>24</v>
      </c>
      <c r="C34" s="59"/>
      <c r="D34" s="59" t="s">
        <v>288</v>
      </c>
      <c r="E34" s="59" t="s">
        <v>108</v>
      </c>
      <c r="F34" s="59" t="s">
        <v>327</v>
      </c>
      <c r="G34" s="129"/>
      <c r="H34" s="59" t="s">
        <v>162</v>
      </c>
      <c r="I34" s="52">
        <v>0.95</v>
      </c>
      <c r="J34" s="278">
        <f t="shared" si="1"/>
        <v>0.66666666666666663</v>
      </c>
      <c r="K34" s="278">
        <f t="shared" si="2"/>
        <v>0.33333333333333331</v>
      </c>
      <c r="M34" s="55"/>
      <c r="O34" s="8"/>
      <c r="P34" s="8"/>
      <c r="R34" s="8"/>
    </row>
    <row r="35" spans="1:18">
      <c r="A35" s="29" t="s">
        <v>20</v>
      </c>
      <c r="B35" s="29" t="s">
        <v>25</v>
      </c>
      <c r="C35" s="29" t="s">
        <v>289</v>
      </c>
      <c r="D35" s="29" t="s">
        <v>290</v>
      </c>
      <c r="E35" s="51">
        <v>0.3</v>
      </c>
      <c r="F35" s="67" t="s">
        <v>321</v>
      </c>
      <c r="G35" s="274" t="s">
        <v>295</v>
      </c>
      <c r="H35" s="50" t="s">
        <v>12</v>
      </c>
      <c r="I35" s="52">
        <v>0.95</v>
      </c>
      <c r="J35" s="278">
        <f t="shared" si="1"/>
        <v>0.66666666666666663</v>
      </c>
      <c r="K35" s="278">
        <f t="shared" si="2"/>
        <v>0.33333333333333331</v>
      </c>
      <c r="M35" s="270"/>
      <c r="O35" s="8"/>
      <c r="P35" s="8"/>
      <c r="R35" s="8"/>
    </row>
    <row r="36" spans="1:18">
      <c r="A36" s="29" t="s">
        <v>20</v>
      </c>
      <c r="B36" s="29" t="s">
        <v>26</v>
      </c>
      <c r="C36" s="29" t="s">
        <v>289</v>
      </c>
      <c r="D36" s="29" t="s">
        <v>290</v>
      </c>
      <c r="E36" s="51">
        <v>0.4</v>
      </c>
      <c r="F36" s="67" t="s">
        <v>321</v>
      </c>
      <c r="G36" s="274" t="s">
        <v>295</v>
      </c>
      <c r="H36" s="50" t="s">
        <v>12</v>
      </c>
      <c r="I36" s="52">
        <v>0.95</v>
      </c>
      <c r="J36" s="278">
        <f t="shared" si="1"/>
        <v>0.66666666666666663</v>
      </c>
      <c r="K36" s="278">
        <f t="shared" si="2"/>
        <v>0.33333333333333331</v>
      </c>
      <c r="M36" s="270"/>
      <c r="O36" s="8"/>
      <c r="P36" s="8"/>
      <c r="R36" s="8"/>
    </row>
    <row r="37" spans="1:18">
      <c r="A37" s="29" t="s">
        <v>20</v>
      </c>
      <c r="B37" s="29" t="s">
        <v>283</v>
      </c>
      <c r="C37" s="29" t="s">
        <v>289</v>
      </c>
      <c r="D37" s="29" t="s">
        <v>290</v>
      </c>
      <c r="E37" s="51">
        <v>0.4</v>
      </c>
      <c r="F37" s="67" t="s">
        <v>321</v>
      </c>
      <c r="G37" s="274" t="s">
        <v>295</v>
      </c>
      <c r="H37" s="50" t="s">
        <v>12</v>
      </c>
      <c r="I37" s="52">
        <v>0.95</v>
      </c>
      <c r="J37" s="278">
        <f t="shared" si="1"/>
        <v>0.66666666666666663</v>
      </c>
      <c r="K37" s="278">
        <f t="shared" si="2"/>
        <v>0.33333333333333331</v>
      </c>
      <c r="M37" s="270"/>
      <c r="O37" s="8"/>
      <c r="P37" s="8"/>
      <c r="R37" s="8"/>
    </row>
    <row r="38" spans="1:18">
      <c r="A38" s="29" t="s">
        <v>27</v>
      </c>
      <c r="B38" s="53" t="s">
        <v>28</v>
      </c>
      <c r="C38" s="29" t="s">
        <v>293</v>
      </c>
      <c r="D38" s="29" t="s">
        <v>270</v>
      </c>
      <c r="E38" s="54">
        <v>12</v>
      </c>
      <c r="F38" s="29" t="s">
        <v>122</v>
      </c>
      <c r="G38" s="274" t="s">
        <v>295</v>
      </c>
      <c r="H38" s="50" t="s">
        <v>12</v>
      </c>
      <c r="I38" s="52">
        <v>0.95</v>
      </c>
      <c r="J38" s="278">
        <f t="shared" si="1"/>
        <v>0.66666666666666663</v>
      </c>
      <c r="K38" s="278">
        <f t="shared" si="2"/>
        <v>0.33333333333333331</v>
      </c>
      <c r="M38" s="270"/>
      <c r="O38" s="8"/>
      <c r="P38" s="8"/>
      <c r="R38" s="8"/>
    </row>
    <row r="39" spans="1:18">
      <c r="A39" s="29" t="s">
        <v>27</v>
      </c>
      <c r="B39" s="29" t="s">
        <v>29</v>
      </c>
      <c r="C39" s="29" t="s">
        <v>293</v>
      </c>
      <c r="D39" s="29" t="s">
        <v>270</v>
      </c>
      <c r="E39" s="54">
        <v>12</v>
      </c>
      <c r="F39" s="29" t="s">
        <v>122</v>
      </c>
      <c r="G39" s="274" t="s">
        <v>295</v>
      </c>
      <c r="H39" s="50" t="s">
        <v>12</v>
      </c>
      <c r="I39" s="52">
        <v>0.95</v>
      </c>
      <c r="J39" s="278">
        <f t="shared" si="1"/>
        <v>0.66666666666666663</v>
      </c>
      <c r="K39" s="278">
        <f t="shared" si="2"/>
        <v>0.33333333333333331</v>
      </c>
      <c r="M39" s="270"/>
      <c r="O39" s="8"/>
      <c r="P39" s="8"/>
      <c r="R39" s="8"/>
    </row>
    <row r="40" spans="1:18">
      <c r="A40" s="29" t="s">
        <v>27</v>
      </c>
      <c r="B40" s="29" t="s">
        <v>30</v>
      </c>
      <c r="C40" s="29" t="s">
        <v>291</v>
      </c>
      <c r="D40" s="29" t="s">
        <v>268</v>
      </c>
      <c r="E40" s="54">
        <v>300</v>
      </c>
      <c r="F40" s="50" t="s">
        <v>120</v>
      </c>
      <c r="G40" s="274" t="s">
        <v>295</v>
      </c>
      <c r="H40" s="50" t="s">
        <v>12</v>
      </c>
      <c r="I40" s="52">
        <v>0.95</v>
      </c>
      <c r="J40" s="278">
        <f t="shared" si="1"/>
        <v>0.66666666666666663</v>
      </c>
      <c r="K40" s="278">
        <f t="shared" si="2"/>
        <v>0.33333333333333331</v>
      </c>
      <c r="M40" s="270"/>
      <c r="O40" s="8"/>
      <c r="P40" s="8"/>
      <c r="R40" s="8"/>
    </row>
    <row r="41" spans="1:18">
      <c r="A41" s="29" t="s">
        <v>27</v>
      </c>
      <c r="B41" s="29" t="s">
        <v>286</v>
      </c>
      <c r="C41" s="29" t="s">
        <v>289</v>
      </c>
      <c r="D41" s="29" t="s">
        <v>290</v>
      </c>
      <c r="E41" s="54">
        <v>1</v>
      </c>
      <c r="F41" s="67" t="s">
        <v>321</v>
      </c>
      <c r="G41" s="274" t="s">
        <v>295</v>
      </c>
      <c r="H41" s="50" t="s">
        <v>12</v>
      </c>
      <c r="I41" s="52">
        <v>0.95</v>
      </c>
      <c r="J41" s="278">
        <f t="shared" si="1"/>
        <v>0.66666666666666663</v>
      </c>
      <c r="K41" s="278">
        <f t="shared" si="2"/>
        <v>0.33333333333333331</v>
      </c>
      <c r="M41" s="270"/>
      <c r="O41" s="8"/>
      <c r="P41" s="8"/>
      <c r="R41" s="8"/>
    </row>
    <row r="42" spans="1:18">
      <c r="A42" s="29" t="s">
        <v>27</v>
      </c>
      <c r="B42" s="29" t="s">
        <v>31</v>
      </c>
      <c r="C42" s="29" t="s">
        <v>289</v>
      </c>
      <c r="D42" s="29" t="s">
        <v>290</v>
      </c>
      <c r="E42" s="54">
        <v>0.4</v>
      </c>
      <c r="F42" s="67" t="s">
        <v>321</v>
      </c>
      <c r="G42" s="274" t="s">
        <v>295</v>
      </c>
      <c r="H42" s="50" t="s">
        <v>12</v>
      </c>
      <c r="I42" s="52">
        <v>0.95</v>
      </c>
      <c r="J42" s="278">
        <f t="shared" si="1"/>
        <v>0.66666666666666663</v>
      </c>
      <c r="K42" s="278">
        <f t="shared" si="2"/>
        <v>0.33333333333333331</v>
      </c>
      <c r="M42" s="270"/>
      <c r="O42" s="8"/>
      <c r="P42" s="8"/>
      <c r="R42" s="8"/>
    </row>
    <row r="43" spans="1:18">
      <c r="A43" s="29" t="s">
        <v>27</v>
      </c>
      <c r="B43" s="53" t="s">
        <v>284</v>
      </c>
      <c r="C43" s="29" t="s">
        <v>289</v>
      </c>
      <c r="D43" s="29" t="s">
        <v>290</v>
      </c>
      <c r="E43" s="54">
        <v>0.8</v>
      </c>
      <c r="F43" s="50" t="s">
        <v>321</v>
      </c>
      <c r="G43" s="274" t="s">
        <v>295</v>
      </c>
      <c r="H43" s="50" t="s">
        <v>12</v>
      </c>
      <c r="I43" s="52">
        <v>0.95</v>
      </c>
      <c r="J43" s="278">
        <f t="shared" si="1"/>
        <v>0.66666666666666663</v>
      </c>
      <c r="K43" s="278">
        <f t="shared" si="2"/>
        <v>0.33333333333333331</v>
      </c>
      <c r="M43" s="270"/>
      <c r="O43" s="8"/>
      <c r="P43" s="8"/>
      <c r="R43" s="8"/>
    </row>
    <row r="44" spans="1:18">
      <c r="A44" s="129" t="s">
        <v>27</v>
      </c>
      <c r="B44" s="129" t="s">
        <v>32</v>
      </c>
      <c r="C44" s="59"/>
      <c r="D44" s="59" t="s">
        <v>288</v>
      </c>
      <c r="E44" s="59" t="s">
        <v>108</v>
      </c>
      <c r="F44" s="59" t="s">
        <v>327</v>
      </c>
      <c r="G44" s="129"/>
      <c r="H44" s="59" t="s">
        <v>162</v>
      </c>
      <c r="I44" s="52">
        <v>0.95</v>
      </c>
      <c r="J44" s="278">
        <f t="shared" si="1"/>
        <v>0.66666666666666663</v>
      </c>
      <c r="K44" s="278">
        <f t="shared" si="2"/>
        <v>0.33333333333333331</v>
      </c>
      <c r="M44" s="55"/>
      <c r="O44" s="8"/>
      <c r="P44" s="8"/>
      <c r="R44" s="8"/>
    </row>
    <row r="45" spans="1:18">
      <c r="A45" s="129" t="s">
        <v>27</v>
      </c>
      <c r="B45" s="129" t="s">
        <v>33</v>
      </c>
      <c r="C45" s="59"/>
      <c r="D45" s="59" t="s">
        <v>288</v>
      </c>
      <c r="E45" s="59" t="s">
        <v>108</v>
      </c>
      <c r="F45" s="59" t="s">
        <v>327</v>
      </c>
      <c r="G45" s="129"/>
      <c r="H45" s="59" t="s">
        <v>162</v>
      </c>
      <c r="I45" s="52">
        <v>0.95</v>
      </c>
      <c r="J45" s="278">
        <f t="shared" si="1"/>
        <v>0.66666666666666663</v>
      </c>
      <c r="K45" s="278">
        <f t="shared" si="2"/>
        <v>0.33333333333333331</v>
      </c>
      <c r="M45" s="55"/>
      <c r="O45" s="8"/>
      <c r="P45" s="8"/>
      <c r="R45" s="8"/>
    </row>
    <row r="46" spans="1:18">
      <c r="A46" s="29" t="s">
        <v>27</v>
      </c>
      <c r="B46" s="29" t="s">
        <v>287</v>
      </c>
      <c r="C46" s="29" t="s">
        <v>289</v>
      </c>
      <c r="D46" s="29" t="s">
        <v>290</v>
      </c>
      <c r="E46" s="54">
        <v>0.75</v>
      </c>
      <c r="F46" s="50" t="s">
        <v>321</v>
      </c>
      <c r="G46" s="274" t="s">
        <v>295</v>
      </c>
      <c r="H46" s="50" t="s">
        <v>12</v>
      </c>
      <c r="I46" s="52">
        <v>0.95</v>
      </c>
      <c r="J46" s="278">
        <f t="shared" si="1"/>
        <v>0.66666666666666663</v>
      </c>
      <c r="K46" s="278">
        <f t="shared" si="2"/>
        <v>0.33333333333333331</v>
      </c>
      <c r="M46" s="270"/>
      <c r="O46" s="8"/>
      <c r="P46" s="8"/>
      <c r="R46" s="8"/>
    </row>
    <row r="47" spans="1:18">
      <c r="A47" s="25"/>
      <c r="B47" s="154"/>
    </row>
  </sheetData>
  <sheetProtection algorithmName="SHA-512" hashValue="d4HPdDwGYjCrxJc3pPhvfYwa2t+28Y/wEk/NnV/ksIfV2DpsDxSm8SQJlY9Y57k08ZHtWs+DumpmJtOckUgMbQ==" saltValue="fJM7kUVIctDEJvoIwzMs1g==" spinCount="100000" sheet="1" objects="1" scenarios="1"/>
  <autoFilter ref="A10:P46" xr:uid="{00000000-0001-0000-0300-000000000000}"/>
  <mergeCells count="1">
    <mergeCell ref="L9:N9"/>
  </mergeCells>
  <phoneticPr fontId="0" type="noConversion"/>
  <pageMargins left="0.75" right="0.75" top="1" bottom="1" header="0.5" footer="0.5"/>
  <pageSetup paperSize="9" scale="80" orientation="portrait" verticalDpi="4"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L50"/>
  <sheetViews>
    <sheetView workbookViewId="0">
      <selection activeCell="A19" sqref="A19:XFD19"/>
    </sheetView>
  </sheetViews>
  <sheetFormatPr defaultRowHeight="12.75"/>
  <cols>
    <col min="2" max="2" width="22.85546875" customWidth="1"/>
    <col min="3" max="3" width="26.28515625" customWidth="1"/>
    <col min="4" max="4" width="24" customWidth="1"/>
    <col min="5" max="5" width="39" bestFit="1" customWidth="1"/>
    <col min="6" max="6" width="20.140625" bestFit="1" customWidth="1"/>
    <col min="7" max="7" width="29.42578125" customWidth="1"/>
    <col min="8" max="8" width="18.140625" customWidth="1"/>
    <col min="9" max="9" width="29.42578125" style="23" customWidth="1"/>
    <col min="10" max="10" width="16.42578125" customWidth="1"/>
    <col min="12" max="12" width="17.28515625" customWidth="1"/>
  </cols>
  <sheetData>
    <row r="1" spans="2:12" s="4" customFormat="1">
      <c r="B1" s="11"/>
      <c r="C1" s="11"/>
      <c r="D1" s="11"/>
      <c r="E1" s="11"/>
      <c r="F1" s="11"/>
      <c r="G1" s="11"/>
    </row>
    <row r="2" spans="2:12">
      <c r="B2" s="33" t="str">
        <f>ADWUT!A10</f>
        <v>Development Type</v>
      </c>
      <c r="C2" s="11" t="s">
        <v>3</v>
      </c>
      <c r="D2" s="11" t="s">
        <v>187</v>
      </c>
      <c r="E2" s="11" t="s">
        <v>11</v>
      </c>
      <c r="F2" s="11" t="s">
        <v>20</v>
      </c>
      <c r="G2" s="11" t="s">
        <v>27</v>
      </c>
      <c r="H2" s="25" t="s">
        <v>44</v>
      </c>
      <c r="I2" s="22" t="s">
        <v>41</v>
      </c>
      <c r="J2" s="22" t="s">
        <v>152</v>
      </c>
      <c r="L2" s="33" t="s">
        <v>92</v>
      </c>
    </row>
    <row r="3" spans="2:12">
      <c r="B3" s="10" t="str" cm="1">
        <f t="array" ref="B3:B7">IF((_xlfn.UNIQUE(ADWUT!$A$11:$A$998))=0,"",(_xlfn.UNIQUE(ADWUT!$A$11:$A$998)))</f>
        <v>Residential</v>
      </c>
      <c r="C3" s="10" t="str" cm="1">
        <f t="array" ref="C3">IFERROR(INDEX(ADWUT!$B$11:$B$998, MATCH(0, COUNTIF(C$2:C2, IF(ADWUT!$A$11:$A$998=C$2,ADWUT!$B$11:$B$998,C$2)), 0)),"")</f>
        <v>Single dwelling</v>
      </c>
      <c r="D3" s="10" t="str" cm="1">
        <f t="array" ref="D3">IFERROR(INDEX(ADWUT!$B$11:$B$998, MATCH(0, COUNTIF(D$2:D2, IF(ADWUT!$A$11:$A$998=D$2,ADWUT!$B$11:$B$998,D$2)), 0)),"")</f>
        <v/>
      </c>
      <c r="E3" s="10" t="str" cm="1">
        <f t="array" ref="E3">IFERROR(INDEX(ADWUT!$B$11:$B$998, MATCH(0, COUNTIF(E$2:E2, IF(ADWUT!$A$11:$A$998=E$2,ADWUT!$B$11:$B$998,E$2)), 0)),"")</f>
        <v>Aged accommodation - full care</v>
      </c>
      <c r="F3" s="10" t="str" cm="1">
        <f t="array" ref="F3">IFERROR(INDEX(ADWUT!$B$11:$B$998, MATCH(0, COUNTIF(F$2:F2, IF(ADWUT!$A$11:$A$998=F$2,ADWUT!$B$11:$B$998,F$2)), 0)),"")</f>
        <v>Heavy Process</v>
      </c>
      <c r="G3" s="10" t="str" cm="1">
        <f t="array" ref="G3">IFERROR(INDEX(ADWUT!$B$11:$B$998, MATCH(0, COUNTIF(G$2:G2, IF(ADWUT!$A$11:$A$998=G$2,ADWUT!$B$11:$B$998,G$2)), 0)),"")</f>
        <v>University</v>
      </c>
      <c r="H3" s="13" t="s">
        <v>45</v>
      </c>
      <c r="I3" s="24" t="s">
        <v>181</v>
      </c>
      <c r="J3" s="22" t="s">
        <v>153</v>
      </c>
      <c r="L3" t="s">
        <v>93</v>
      </c>
    </row>
    <row r="4" spans="2:12">
      <c r="B4" s="10" t="str">
        <v>Commercial</v>
      </c>
      <c r="C4" s="10" t="str" cm="1">
        <f t="array" ref="C4">IFERROR(INDEX(ADWUT!$B$11:$B$998, MATCH(0, COUNTIF(C$2:C3, IF(ADWUT!$A$11:$A$998=C$2,ADWUT!$B$11:$B$998,C$2)), 0)),"")</f>
        <v>Town House (&lt;30 units/net ha)</v>
      </c>
      <c r="D4" s="10" t="str" cm="1">
        <f t="array" ref="D4">IFERROR(INDEX(ADWUT!$B$11:$B$998, MATCH(0, COUNTIF(D$2:D3, IF(ADWUT!$A$11:$A$998=D$2,ADWUT!$B$11:$B$998,D$2)), 0)),"")</f>
        <v/>
      </c>
      <c r="E4" s="10" t="str" cm="1">
        <f t="array" ref="E4">IFERROR(INDEX(ADWUT!$B$11:$B$998, MATCH(0, COUNTIF(E$2:E3, IF(ADWUT!$A$11:$A$998=E$2,ADWUT!$B$11:$B$998,E$2)), 0)),"")</f>
        <v>Aged accommodation - self care</v>
      </c>
      <c r="F4" s="10" t="str" cm="1">
        <f t="array" ref="F4">IFERROR(INDEX(ADWUT!$B$11:$B$998, MATCH(0, COUNTIF(F$2:F3, IF(ADWUT!$A$11:$A$998=F$2,ADWUT!$B$11:$B$998,F$2)), 0)),"")</f>
        <v>Chemical Manufacturing</v>
      </c>
      <c r="G4" s="10" t="str" cm="1">
        <f t="array" ref="G4">IFERROR(INDEX(ADWUT!$B$11:$B$998, MATCH(0, COUNTIF(G$2:G3, IF(ADWUT!$A$11:$A$998=G$2,ADWUT!$B$11:$B$998,G$2)), 0)),"")</f>
        <v>School</v>
      </c>
      <c r="H4" s="13" t="s">
        <v>19</v>
      </c>
      <c r="I4" s="22" t="s">
        <v>180</v>
      </c>
      <c r="J4" s="22" t="s">
        <v>154</v>
      </c>
      <c r="L4" t="s">
        <v>94</v>
      </c>
    </row>
    <row r="5" spans="2:12">
      <c r="B5" s="10" t="str">
        <v>Industrial</v>
      </c>
      <c r="C5" s="10" t="str" cm="1">
        <f t="array" ref="C5">IFERROR(INDEX(ADWUT!$B$11:$B$998, MATCH(0, COUNTIF(C$2:C4, IF(ADWUT!$A$11:$A$998=C$2,ADWUT!$B$11:$B$998,C$2)), 0)),"")</f>
        <v>Multi-unit (30-60 units/net ha)</v>
      </c>
      <c r="D5" s="10" t="str" cm="1">
        <f t="array" ref="D5">IFERROR(INDEX(ADWUT!$B$11:$B$998, MATCH(0, COUNTIF(D$2:D4, IF(ADWUT!$A$11:$A$998=D$2,ADWUT!$B$11:$B$998,D$2)), 0)),"")</f>
        <v/>
      </c>
      <c r="E5" s="10" t="str" cm="1">
        <f t="array" ref="E5">IFERROR(INDEX(ADWUT!$B$11:$B$998, MATCH(0, COUNTIF(E$2:E4, IF(ADWUT!$A$11:$A$998=E$2,ADWUT!$B$11:$B$998,E$2)), 0)),"")</f>
        <v>Childcare</v>
      </c>
      <c r="F5" s="10" t="str" cm="1">
        <f t="array" ref="F5">IFERROR(INDEX(ADWUT!$B$11:$B$998, MATCH(0, COUNTIF(F$2:F4, IF(ADWUT!$A$11:$A$998=F$2,ADWUT!$B$11:$B$998,F$2)), 0)),"")</f>
        <v>Printing Manufacturing</v>
      </c>
      <c r="G5" s="10" t="str" cm="1">
        <f t="array" ref="G5">IFERROR(INDEX(ADWUT!$B$11:$B$998, MATCH(0, COUNTIF(G$2:G4, IF(ADWUT!$A$11:$A$998=G$2,ADWUT!$B$11:$B$998,G$2)), 0)),"")</f>
        <v>Hospital</v>
      </c>
      <c r="H5" s="27" t="s">
        <v>60</v>
      </c>
      <c r="I5" s="22" t="s">
        <v>174</v>
      </c>
      <c r="J5" s="22" t="s">
        <v>155</v>
      </c>
      <c r="L5" t="s">
        <v>95</v>
      </c>
    </row>
    <row r="6" spans="2:12">
      <c r="B6" s="10" t="str">
        <v>Special_Use</v>
      </c>
      <c r="C6" s="10" t="str" cm="1">
        <f t="array" ref="C6">IFERROR(INDEX(ADWUT!$B$11:$B$998, MATCH(0, COUNTIF(C$2:C5, IF(ADWUT!$A$11:$A$998=C$2,ADWUT!$B$11:$B$998,C$2)), 0)),"")</f>
        <v>Multi-unit (61-100 units/net ha)</v>
      </c>
      <c r="D6" s="10" t="str" cm="1">
        <f t="array" ref="D6">IFERROR(INDEX(ADWUT!$B$11:$B$998, MATCH(0, COUNTIF(D$2:D5, IF(ADWUT!$A$11:$A$998=D$2,ADWUT!$B$11:$B$998,D$2)), 0)),"")</f>
        <v/>
      </c>
      <c r="E6" s="10" t="str" cm="1">
        <f t="array" ref="E6">IFERROR(INDEX(ADWUT!$B$11:$B$998, MATCH(0, COUNTIF(E$2:E5, IF(ADWUT!$A$11:$A$998=E$2,ADWUT!$B$11:$B$998,E$2)), 0)),"")</f>
        <v>Hotel, motel, serviced apartments</v>
      </c>
      <c r="F6" s="10" t="str" cm="1">
        <f t="array" ref="F6">IFERROR(INDEX(ADWUT!$B$11:$B$998, MATCH(0, COUNTIF(F$2:F5, IF(ADWUT!$A$11:$A$998=F$2,ADWUT!$B$11:$B$998,F$2)), 0)),"")</f>
        <v>Beverage Manufacturing</v>
      </c>
      <c r="G6" s="10" t="str" cm="1">
        <f t="array" ref="G6">IFERROR(INDEX(ADWUT!$B$11:$B$998, MATCH(0, COUNTIF(G$2:G5, IF(ADWUT!$A$11:$A$998=G$2,ADWUT!$B$11:$B$998,G$2)), 0)),"")</f>
        <v>Religious assemblies</v>
      </c>
      <c r="H6" s="13"/>
      <c r="I6" s="22" t="s">
        <v>58</v>
      </c>
      <c r="J6" s="22" t="s">
        <v>155</v>
      </c>
      <c r="L6" t="s">
        <v>96</v>
      </c>
    </row>
    <row r="7" spans="2:12">
      <c r="B7" s="21" t="str">
        <v/>
      </c>
      <c r="C7" s="10" t="str" cm="1">
        <f t="array" ref="C7">IFERROR(INDEX(ADWUT!$B$11:$B$998, MATCH(0, COUNTIF(C$2:C6, IF(ADWUT!$A$11:$A$998=C$2,ADWUT!$B$11:$B$998,C$2)), 0)),"")</f>
        <v>Multi-unit (101-140 units/net ha)</v>
      </c>
      <c r="D7" s="10"/>
      <c r="E7" s="10" t="str" cm="1">
        <f t="array" ref="E7">IFERROR(INDEX(ADWUT!$B$11:$B$998, MATCH(0, COUNTIF(E$2:E6, IF(ADWUT!$A$11:$A$998=E$2,ADWUT!$B$11:$B$998,E$2)), 0)),"")</f>
        <v>Office</v>
      </c>
      <c r="F7" s="10" t="str" cm="1">
        <f t="array" ref="F7">IFERROR(INDEX(ADWUT!$B$11:$B$998, MATCH(0, COUNTIF(F$2:F6, IF(ADWUT!$A$11:$A$998=F$2,ADWUT!$B$11:$B$998,F$2)), 0)),"")</f>
        <v>Light Factory Unit</v>
      </c>
      <c r="G7" s="10" t="str" cm="1">
        <f t="array" ref="G7">IFERROR(INDEX(ADWUT!$B$11:$B$998, MATCH(0, COUNTIF(G$2:G6, IF(ADWUT!$A$11:$A$998=G$2,ADWUT!$B$11:$B$998,G$2)), 0)),"")</f>
        <v>Government Depot</v>
      </c>
      <c r="H7" s="13"/>
      <c r="I7" s="23" t="s">
        <v>59</v>
      </c>
      <c r="J7" s="22" t="s">
        <v>156</v>
      </c>
      <c r="L7" t="s">
        <v>97</v>
      </c>
    </row>
    <row r="8" spans="2:12">
      <c r="B8" s="10"/>
      <c r="C8" s="10" t="str" cm="1">
        <f t="array" ref="C8">IFERROR(INDEX(ADWUT!$B$11:$B$998, MATCH(0, COUNTIF(C$2:C7, IF(ADWUT!$A$11:$A$998=C$2,ADWUT!$B$11:$B$998,C$2)), 0)),"")</f>
        <v>Multi-unit (&gt;140 units/net ha)</v>
      </c>
      <c r="D8" s="10"/>
      <c r="E8" s="10" t="str" cm="1">
        <f t="array" ref="E8">IFERROR(INDEX(ADWUT!$B$11:$B$998, MATCH(0, COUNTIF(E$2:E7, IF(ADWUT!$A$11:$A$998=E$2,ADWUT!$B$11:$B$998,E$2)), 0)),"")</f>
        <v>Shopping Centre</v>
      </c>
      <c r="F8" s="10" t="str" cm="1">
        <f t="array" ref="F8">IFERROR(INDEX(ADWUT!$B$11:$B$998, MATCH(0, COUNTIF(F$2:F7, IF(ADWUT!$A$11:$A$998=F$2,ADWUT!$B$11:$B$998,F$2)), 0)),"")</f>
        <v>Warehousing</v>
      </c>
      <c r="G8" s="10" t="str" cm="1">
        <f t="array" ref="G8">IFERROR(INDEX(ADWUT!$B$11:$B$998, MATCH(0, COUNTIF(G$2:G7, IF(ADWUT!$A$11:$A$998=G$2,ADWUT!$B$11:$B$998,G$2)), 0)),"")</f>
        <v>Community Centre, Library</v>
      </c>
      <c r="H8" s="13"/>
    </row>
    <row r="9" spans="2:12">
      <c r="B9" s="10"/>
      <c r="C9" s="10" t="str" cm="1">
        <f t="array" ref="C9">IFERROR(INDEX(ADWUT!$B$11:$B$998, MATCH(0, COUNTIF(C$2:C8, IF(ADWUT!$A$11:$A$998=C$2,ADWUT!$B$11:$B$998,C$2)), 0)),"")</f>
        <v/>
      </c>
      <c r="D9" s="10"/>
      <c r="E9" s="10" t="str" cm="1">
        <f t="array" ref="E9">IFERROR(INDEX(ADWUT!$B$11:$B$998, MATCH(0, COUNTIF(E$2:E8, IF(ADWUT!$A$11:$A$998=E$2,ADWUT!$B$11:$B$998,E$2)), 0)),"")</f>
        <v>Laundry, dry cleaner</v>
      </c>
      <c r="F9" s="10" t="str" cm="1">
        <f t="array" ref="F9">IFERROR(INDEX(ADWUT!$B$11:$B$998, MATCH(0, COUNTIF(F$2:F8, IF(ADWUT!$A$11:$A$998=F$2,ADWUT!$B$11:$B$998,F$2)), 0)),"")</f>
        <v>Transport, Bus Depot</v>
      </c>
      <c r="G9" s="10" t="str" cm="1">
        <f t="array" ref="G9">IFERROR(INDEX(ADWUT!$B$11:$B$998, MATCH(0, COUNTIF(G$2:G8, IF(ADWUT!$A$11:$A$998=G$2,ADWUT!$B$11:$B$998,G$2)), 0)),"")</f>
        <v>Sport Fields With Amenities</v>
      </c>
      <c r="H9" s="13"/>
      <c r="I9" s="75" t="s">
        <v>158</v>
      </c>
    </row>
    <row r="10" spans="2:12">
      <c r="B10" s="10"/>
      <c r="C10" s="10" t="str" cm="1">
        <f t="array" ref="C10">IFERROR(INDEX(ADWUT!$B$11:$B$998, MATCH(0, COUNTIF(C$2:C9, IF(ADWUT!$A$11:$A$998=C$2,ADWUT!$B$11:$B$998,C$2)), 0)),"")</f>
        <v/>
      </c>
      <c r="D10" s="10"/>
      <c r="E10" s="10" t="str" cm="1">
        <f t="array" ref="E10">IFERROR(INDEX(ADWUT!$B$11:$B$998, MATCH(0, COUNTIF(E$2:E9, IF(ADWUT!$A$11:$A$998=E$2,ADWUT!$B$11:$B$998,E$2)), 0)),"")</f>
        <v>Café, fast food, butcher, deli</v>
      </c>
      <c r="F10" s="10" t="str" cm="1">
        <f t="array" ref="F10">IFERROR(INDEX(ADWUT!$B$11:$B$998, MATCH(0, COUNTIF(F$2:F9, IF(ADWUT!$A$11:$A$998=F$2,ADWUT!$B$11:$B$998,F$2)), 0)),"")</f>
        <v/>
      </c>
      <c r="G10" s="10" t="str" cm="1">
        <f t="array" ref="G10">IFERROR(INDEX(ADWUT!$B$11:$B$998, MATCH(0, COUNTIF(G$2:G9, IF(ADWUT!$A$11:$A$998=G$2,ADWUT!$B$11:$B$998,G$2)), 0)),"")</f>
        <v>Park &amp; Reserves</v>
      </c>
      <c r="H10" s="13"/>
      <c r="I10" s="23" t="str" cm="1">
        <f t="array" ref="I10">IF(OR('Data Input'!$E5=$I$3,'Data Input'!$E5=$I$4), WWdischarge[], IF('Data Input'!$E5=$I$5, $H$4:$H$5, $H$5))</f>
        <v>WW not required</v>
      </c>
    </row>
    <row r="11" spans="2:12">
      <c r="B11" s="10"/>
      <c r="C11" s="10" t="str" cm="1">
        <f t="array" ref="C11">IFERROR(INDEX(ADWUT!$B$11:$B$998, MATCH(0, COUNTIF(C$2:C10, IF(ADWUT!$A$11:$A$998=C$2,ADWUT!$B$11:$B$998,C$2)), 0)),"")</f>
        <v/>
      </c>
      <c r="D11" s="10"/>
      <c r="E11" s="10" t="str" cm="1">
        <f t="array" ref="E11">IFERROR(INDEX(ADWUT!$B$11:$B$998, MATCH(0, COUNTIF(E$2:E10, IF(ADWUT!$A$11:$A$998=E$2,ADWUT!$B$11:$B$998,E$2)), 0)),"")</f>
        <v>Retail Units</v>
      </c>
      <c r="F11" s="10" t="str" cm="1">
        <f t="array" ref="F11">IFERROR(INDEX(ADWUT!$B$11:$B$998, MATCH(0, COUNTIF(F$2:F10, IF(ADWUT!$A$11:$A$998=F$2,ADWUT!$B$11:$B$998,F$2)), 0)),"")</f>
        <v/>
      </c>
      <c r="G11" s="10" t="str" cm="1">
        <f t="array" ref="G11">IFERROR(INDEX(ADWUT!$B$11:$B$998, MATCH(0, COUNTIF(G$2:G10, IF(ADWUT!$A$11:$A$998=G$2,ADWUT!$B$11:$B$998,G$2)), 0)),"")</f>
        <v>Services: police, ambulance, etc.</v>
      </c>
      <c r="H11" s="13"/>
    </row>
    <row r="12" spans="2:12">
      <c r="B12" s="10"/>
      <c r="C12" s="10" t="str" cm="1">
        <f t="array" ref="C12">IFERROR(INDEX(ADWUT!$B$11:$B$998, MATCH(0, COUNTIF(C$2:C11, IF(ADWUT!$A$11:$A$998=C$2,ADWUT!$B$11:$B$998,C$2)), 0)),"")</f>
        <v/>
      </c>
      <c r="D12" s="10"/>
      <c r="E12" s="10" t="str" cm="1">
        <f t="array" ref="E12">IFERROR(INDEX(ADWUT!$B$11:$B$998, MATCH(0, COUNTIF(E$2:E11, IF(ADWUT!$A$11:$A$998=E$2,ADWUT!$B$11:$B$998,E$2)), 0)),"")</f>
        <v>Medical, veterinary</v>
      </c>
      <c r="F12" s="10" t="str" cm="1">
        <f t="array" ref="F12">IFERROR(INDEX(ADWUT!$B$11:$B$998, MATCH(0, COUNTIF(F$2:F10, IF(ADWUT!$A$11:$A$998=F$2,ADWUT!$B$11:$B$998,F$2)), 0)),"")</f>
        <v/>
      </c>
      <c r="G12" s="10" t="str" cm="1">
        <f t="array" ref="G12">IFERROR(INDEX(ADWUT!$B$11:$B$998, MATCH(0, COUNTIF(G$2:G11, IF(ADWUT!$A$11:$A$998=G$2,ADWUT!$B$11:$B$998,G$2)), 0)),"")</f>
        <v/>
      </c>
      <c r="H12" s="13"/>
    </row>
    <row r="13" spans="2:12" ht="13.5" thickBot="1">
      <c r="C13" s="10"/>
      <c r="E13" s="10" t="str" cm="1">
        <f t="array" ref="E13">IFERROR(INDEX(ADWUT!$B$11:$B$998, MATCH(0, COUNTIF(E$2:E12, IF(ADWUT!$A$11:$A$998=E$2,ADWUT!$B$11:$B$998,E$2)), 0)),"")</f>
        <v>Mechanical Repair</v>
      </c>
      <c r="F13" s="10" t="str" cm="1">
        <f t="array" ref="F13">IFERROR(INDEX(ADWUT!$B$11:$B$998, MATCH(0, COUNTIF(F$2:F12, IF(ADWUT!$A$11:$A$998=F$2,ADWUT!$B$11:$B$998,F$2)), 0)),"")</f>
        <v/>
      </c>
      <c r="G13" s="10"/>
      <c r="H13" s="27" t="s">
        <v>267</v>
      </c>
    </row>
    <row r="14" spans="2:12">
      <c r="C14" s="10"/>
      <c r="E14" s="10" t="str" cm="1">
        <f t="array" ref="E14">IFERROR(INDEX(ADWUT!$B$11:$B$998, MATCH(0, COUNTIF(E$2:E13, IF(ADWUT!$A$11:$A$998=E$2,ADWUT!$B$11:$B$998,E$2)), 0)),"")</f>
        <v>Car, Boat Sales</v>
      </c>
      <c r="F14" s="10" t="str" cm="1">
        <f t="array" ref="F14">IFERROR(INDEX(ADWUT!$B$11:$B$998, MATCH(0, COUNTIF(F$2:F13, IF(ADWUT!$A$11:$A$998=F$2,ADWUT!$B$11:$B$998,F$2)), 0)),"")</f>
        <v/>
      </c>
      <c r="G14" s="10" t="str" cm="1">
        <f t="array" ref="G14">IFERROR(INDEX(ADWUT!$B$11:$B$998, MATCH(0, COUNTIF(G$2:G13, IF(ADWUT!$A$11:$A$998=G$2,ADWUT!$B$11:$B$998,G$2)), 0)),"")</f>
        <v/>
      </c>
      <c r="H14" s="268">
        <v>14</v>
      </c>
      <c r="I14" s="78" t="s">
        <v>153</v>
      </c>
      <c r="J14" s="457" t="s">
        <v>159</v>
      </c>
    </row>
    <row r="15" spans="2:12">
      <c r="C15" s="10"/>
      <c r="D15" s="10"/>
      <c r="E15" s="10" t="str" cm="1">
        <f t="array" ref="E15">IFERROR(INDEX(ADWUT!$B$11:$B$998, MATCH(0, COUNTIF(E$2:E14, IF(ADWUT!$A$11:$A$998=E$2,ADWUT!$B$11:$B$998,E$2)), 0)),"")</f>
        <v>Carwash</v>
      </c>
      <c r="F15" s="10" t="str" cm="1">
        <f t="array" ref="F15">IFERROR(INDEX(ADWUT!$B$11:$B$998, MATCH(0, COUNTIF(F$2:F14, IF(ADWUT!$A$11:$A$998=F$2,ADWUT!$B$11:$B$998,F$2)), 0)),"")</f>
        <v/>
      </c>
      <c r="G15" s="10" t="str" cm="1">
        <f t="array" ref="G15">IFERROR(INDEX(ADWUT!$B$11:$B$998, MATCH(0, COUNTIF(G$2:G14, IF(ADWUT!$A$11:$A$998=G$2,ADWUT!$B$11:$B$998,G$2)), 0)),"")</f>
        <v/>
      </c>
      <c r="H15" s="268">
        <v>15</v>
      </c>
      <c r="I15" s="76" t="s">
        <v>45</v>
      </c>
      <c r="J15" s="458"/>
    </row>
    <row r="16" spans="2:12">
      <c r="C16" s="10"/>
      <c r="E16" s="10" t="str" cm="1">
        <f t="array" ref="E16">IFERROR(INDEX(ADWUT!$B$11:$B$998, MATCH(0, COUNTIF(E$2:E15, IF(ADWUT!$A$11:$A$998=E$2,ADWUT!$B$11:$B$998,E$2)), 0)),"")</f>
        <v>Club</v>
      </c>
      <c r="F16" s="10" t="str" cm="1">
        <f t="array" ref="F16">IFERROR(INDEX(ADWUT!$B$11:$B$998, MATCH(0, COUNTIF(F$2:F15, IF(ADWUT!$A$11:$A$998=F$2,ADWUT!$B$11:$B$998,F$2)), 0)),"")</f>
        <v/>
      </c>
      <c r="G16" s="10" t="str" cm="1">
        <f t="array" ref="G16">IFERROR(INDEX(ADWUT!$B$11:$B$998, MATCH(0, COUNTIF(G$2:G15, IF(ADWUT!$A$11:$A$998=G$2,ADWUT!$B$11:$B$998,G$2)), 0)),"")</f>
        <v/>
      </c>
      <c r="H16" s="268">
        <v>16</v>
      </c>
      <c r="I16" s="76" t="s">
        <v>19</v>
      </c>
      <c r="J16" s="458"/>
    </row>
    <row r="17" spans="2:10">
      <c r="C17" s="10"/>
      <c r="E17" s="10" t="str" cm="1">
        <f t="array" ref="E17">IFERROR(INDEX(ADWUT!$B$11:$B$998, MATCH(0, COUNTIF(E$2:E16, IF(ADWUT!$A$11:$A$998=E$2,ADWUT!$B$11:$B$998,E$2)), 0)),"")</f>
        <v/>
      </c>
      <c r="F17" s="10" t="str" cm="1">
        <f t="array" ref="F17">IFERROR(INDEX(ADWUT!$B$11:$B$998, MATCH(0, COUNTIF(F$2:F16, IF(ADWUT!$A$11:$A$998=F$2,ADWUT!$B$11:$B$998,F$2)), 0)),"")</f>
        <v/>
      </c>
      <c r="G17" s="10" t="str" cm="1">
        <f t="array" ref="G17">IFERROR(INDEX(ADWUT!$B$11:$B$998, MATCH(0, COUNTIF(G$2:G16, IF(ADWUT!$A$11:$A$998=G$2,ADWUT!$B$11:$B$998,G$2)), 0)),"")</f>
        <v/>
      </c>
      <c r="H17" s="268">
        <v>17</v>
      </c>
      <c r="I17" s="76" t="s">
        <v>60</v>
      </c>
      <c r="J17" s="458"/>
    </row>
    <row r="18" spans="2:10">
      <c r="C18" s="10"/>
      <c r="E18" s="10" t="str" cm="1">
        <f t="array" ref="E18">IFERROR(INDEX(ADWUT!$B$11:$B$998, MATCH(0, COUNTIF(E$2:E17, IF(ADWUT!$A$11:$A$998=E$2,ADWUT!$B$11:$B$998,E$2)), 0)),"")</f>
        <v/>
      </c>
      <c r="F18" s="10" t="str" cm="1">
        <f t="array" ref="F18">IFERROR(INDEX(ADWUT!$B$11:$B$998, MATCH(0, COUNTIF(F$2:F17, IF(ADWUT!$A$11:$A$998=F$2,ADWUT!$B$11:$B$998,F$2)), 0)),"")</f>
        <v/>
      </c>
      <c r="H18" s="268">
        <v>18</v>
      </c>
      <c r="I18" s="76"/>
      <c r="J18" s="458"/>
    </row>
    <row r="19" spans="2:10">
      <c r="C19" s="10"/>
      <c r="E19" s="10" t="str" cm="1">
        <f t="array" ref="E19">IFERROR(INDEX(ADWUT!$B$11:$B$998, MATCH(0, COUNTIF(E$2:E18, IF(ADWUT!$A$11:$A$998=E$2,ADWUT!$B$11:$B$998,E$2)), 0)),"")</f>
        <v/>
      </c>
      <c r="F19" s="10" t="str" cm="1">
        <f t="array" ref="F19">IFERROR(INDEX(ADWUT!$B$11:$B$998, MATCH(0, COUNTIF(F$2:F18, IF(ADWUT!$A$11:$A$998=F$2,ADWUT!$B$11:$B$998,F$2)), 0)),"")</f>
        <v/>
      </c>
      <c r="H19" s="268">
        <v>19</v>
      </c>
      <c r="I19" s="79" t="s">
        <v>154</v>
      </c>
      <c r="J19" s="458"/>
    </row>
    <row r="20" spans="2:10">
      <c r="C20" s="10"/>
      <c r="E20" s="10" t="str" cm="1">
        <f t="array" ref="E20">IFERROR(INDEX(ADWUT!$B$11:$B$998, MATCH(0, COUNTIF(E$2:E19, IF(ADWUT!$A$11:$A$998=E$2,ADWUT!$B$11:$B$998,E$2)), 0)),"")</f>
        <v/>
      </c>
      <c r="F20" s="10" t="str" cm="1">
        <f t="array" ref="F20">IFERROR(INDEX(ADWUT!$B$11:$B$998, MATCH(0, COUNTIF(F$2:F19, IF(ADWUT!$A$11:$A$998=F$2,ADWUT!$B$11:$B$998,F$2)), 0)),"")</f>
        <v/>
      </c>
      <c r="H20" s="268">
        <v>20</v>
      </c>
      <c r="I20" s="76" t="s">
        <v>45</v>
      </c>
      <c r="J20" s="458"/>
    </row>
    <row r="21" spans="2:10">
      <c r="C21" s="10"/>
      <c r="E21" s="10" t="str" cm="1">
        <f t="array" ref="E21">IFERROR(INDEX(ADWUT!$B$11:$B$998, MATCH(0, COUNTIF(E$2:E20, IF(ADWUT!$A$11:$A$998=E$2,ADWUT!$B$11:$B$998,E$2)), 0)),"")</f>
        <v/>
      </c>
      <c r="F21" s="10" t="str" cm="1">
        <f t="array" ref="F21">IFERROR(INDEX(ADWUT!$B$11:$B$998, MATCH(0, COUNTIF(F$2:F20, IF(ADWUT!$A$11:$A$998=F$2,ADWUT!$B$11:$B$998,F$2)), 0)),"")</f>
        <v/>
      </c>
      <c r="H21" s="268">
        <v>21</v>
      </c>
      <c r="I21" s="76" t="s">
        <v>19</v>
      </c>
      <c r="J21" s="458"/>
    </row>
    <row r="22" spans="2:10">
      <c r="C22" s="10"/>
      <c r="E22" s="10" t="str" cm="1">
        <f t="array" ref="E22">IFERROR(INDEX(ADWUT!$B$11:$B$998, MATCH(0, COUNTIF(E$2:E21, IF(ADWUT!$A$11:$A$998=E$2,ADWUT!$B$11:$B$998,E$2)), 0)),"")</f>
        <v/>
      </c>
      <c r="F22" s="10" t="str" cm="1">
        <f t="array" ref="F22">IFERROR(INDEX(ADWUT!$B$11:$B$998, MATCH(0, COUNTIF(F$2:F21, IF(ADWUT!$A$11:$A$998=F$2,ADWUT!$B$11:$B$998,F$2)), 0)),"")</f>
        <v/>
      </c>
      <c r="H22" s="268">
        <v>22</v>
      </c>
      <c r="I22" s="76" t="s">
        <v>60</v>
      </c>
      <c r="J22" s="458"/>
    </row>
    <row r="23" spans="2:10">
      <c r="C23" s="10"/>
      <c r="E23" s="10" t="str" cm="1">
        <f t="array" ref="E23">IFERROR(INDEX(ADWUT!$B$11:$B$998, MATCH(0, COUNTIF(E$2:E22, IF(ADWUT!$A$11:$A$998=E$2,ADWUT!$B$11:$B$998,E$2)), 0)),"")</f>
        <v/>
      </c>
      <c r="F23" s="10" t="str" cm="1">
        <f t="array" ref="F23">IFERROR(INDEX(ADWUT!$B$11:$B$998, MATCH(0, COUNTIF(F$2:F22, IF(ADWUT!$A$11:$A$998=F$2,ADWUT!$B$11:$B$998,F$2)), 0)),"")</f>
        <v/>
      </c>
      <c r="H23" s="268">
        <v>23</v>
      </c>
      <c r="I23" s="76"/>
      <c r="J23" s="458"/>
    </row>
    <row r="24" spans="2:10">
      <c r="C24" s="10"/>
      <c r="E24" s="10" t="str" cm="1">
        <f t="array" ref="E24">IFERROR(INDEX(ADWUT!$B$11:$B$998, MATCH(0, COUNTIF(E$2:E23, IF(ADWUT!$A$11:$A$998=E$2,ADWUT!$B$11:$B$998,E$2)), 0)),"")</f>
        <v/>
      </c>
      <c r="F24" s="10" t="str" cm="1">
        <f t="array" ref="F24">IFERROR(INDEX(ADWUT!$B$11:$B$998, MATCH(0, COUNTIF(F$2:F23, IF(ADWUT!$A$11:$A$998=F$2,ADWUT!$B$11:$B$998,F$2)), 0)),"")</f>
        <v/>
      </c>
      <c r="H24" s="268">
        <v>24</v>
      </c>
      <c r="I24" s="79" t="s">
        <v>155</v>
      </c>
      <c r="J24" s="458"/>
    </row>
    <row r="25" spans="2:10">
      <c r="E25" s="10" t="str" cm="1">
        <f t="array" ref="E25">IFERROR(INDEX(ADWUT!$B$11:$B$998, MATCH(0, COUNTIF(E$2:E24, IF(ADWUT!$A$11:$A$998=E$2,ADWUT!$B$11:$B$998,E$2)), 0)),"")</f>
        <v/>
      </c>
      <c r="H25" s="268">
        <v>25</v>
      </c>
      <c r="I25" s="76" t="s">
        <v>19</v>
      </c>
      <c r="J25" s="458"/>
    </row>
    <row r="26" spans="2:10">
      <c r="E26" s="10" t="str" cm="1">
        <f t="array" ref="E26">IFERROR(INDEX(ADWUT!$B$11:$B$998, MATCH(0, COUNTIF(E$2:E25, IF(ADWUT!$A$11:$A$998=E$2,ADWUT!$B$11:$B$998,E$2)), 0)),"")</f>
        <v/>
      </c>
      <c r="H26" s="268">
        <v>26</v>
      </c>
      <c r="I26" s="76" t="s">
        <v>60</v>
      </c>
      <c r="J26" s="458"/>
    </row>
    <row r="27" spans="2:10">
      <c r="B27" s="281" t="s">
        <v>6</v>
      </c>
      <c r="C27" s="281" t="s">
        <v>7</v>
      </c>
      <c r="D27" s="282" t="s">
        <v>8</v>
      </c>
      <c r="H27" s="268">
        <v>27</v>
      </c>
      <c r="I27" s="76"/>
      <c r="J27" s="458"/>
    </row>
    <row r="28" spans="2:10">
      <c r="B28" t="str" cm="1">
        <f t="array" ref="B28:B32">_xlfn.UNIQUE(_xlfn._xlws.FILTER(ADWUT!C11:C998, ADWUT!C11:C998&lt;&gt;""), FALSE)</f>
        <v>Dwelling</v>
      </c>
      <c r="C28" s="280" t="str" cm="1">
        <f t="array" ref="C28:C33">_xlfn.UNIQUE(_xlfn._xlws.FILTER(ADWUT!D11:D998, ADWUT!D11:D998&lt;&gt;""), FALSE)</f>
        <v>Each dwelling</v>
      </c>
      <c r="D28" s="280" t="str" cm="1">
        <f t="array" ref="D28:D33">_xlfn.UNIQUE(_xlfn._xlws.FILTER(ADWUT!F11:F998, ADWUT!F11:F998&lt;&gt;""), FALSE)</f>
        <v>Enter number of dwellings (for this application only):</v>
      </c>
      <c r="H28" s="268">
        <v>28</v>
      </c>
      <c r="I28" s="76"/>
      <c r="J28" s="458"/>
    </row>
    <row r="29" spans="2:10">
      <c r="B29" t="str">
        <v>Number of beds</v>
      </c>
      <c r="C29" s="280" t="str">
        <v>Each bed</v>
      </c>
      <c r="D29" t="str">
        <v>Enter number of beds:</v>
      </c>
      <c r="H29" s="268">
        <v>29</v>
      </c>
      <c r="I29" s="79" t="s">
        <v>156</v>
      </c>
      <c r="J29" s="458"/>
    </row>
    <row r="30" spans="2:10">
      <c r="B30" t="str">
        <v>Building footprint</v>
      </c>
      <c r="C30" s="280" t="str">
        <v>Square metre</v>
      </c>
      <c r="D30" t="str">
        <v>Enter building area in square meters:</v>
      </c>
      <c r="H30" s="268">
        <v>30</v>
      </c>
      <c r="I30" s="76" t="s">
        <v>19</v>
      </c>
      <c r="J30" s="458"/>
    </row>
    <row r="31" spans="2:10">
      <c r="B31" t="str">
        <v>Number of rooms</v>
      </c>
      <c r="C31" s="280" t="str">
        <v>Each room</v>
      </c>
      <c r="D31" t="str">
        <v>Enter number of rooms:</v>
      </c>
      <c r="H31" s="268">
        <v>31</v>
      </c>
      <c r="I31" s="76" t="s">
        <v>60</v>
      </c>
      <c r="J31" s="458"/>
    </row>
    <row r="32" spans="2:10" ht="13.5" thickBot="1">
      <c r="B32" t="str">
        <v>Number of students</v>
      </c>
      <c r="C32" s="280" t="str">
        <v>Bespoke calculation required</v>
      </c>
      <c r="D32" t="str">
        <v>Use the bottom section of this sheet.</v>
      </c>
      <c r="H32" s="268">
        <v>32</v>
      </c>
      <c r="I32" s="77"/>
      <c r="J32" s="459"/>
    </row>
    <row r="33" spans="3:10" ht="13.5" thickBot="1">
      <c r="C33" s="280" t="str">
        <v>Each student</v>
      </c>
      <c r="D33" t="str">
        <v>Enter number of students:</v>
      </c>
    </row>
    <row r="34" spans="3:10">
      <c r="D34" s="280"/>
      <c r="H34" s="84">
        <v>34</v>
      </c>
      <c r="I34" s="81" t="s">
        <v>157</v>
      </c>
      <c r="J34" s="80" t="s">
        <v>151</v>
      </c>
    </row>
    <row r="35" spans="3:10">
      <c r="D35" s="280"/>
      <c r="H35" s="84">
        <v>35</v>
      </c>
      <c r="I35" s="82" t="str" cm="1">
        <f t="array" ref="I35">_xlfn.SWITCH('Data Input'!E5, "Yes - PW&amp;RW (Std value)", "YES", "No - PW only (Std value)", "NO", "Other PW &amp; RW ratio", "OTHER", "Other PW only", "OTHER", "PW&amp;RW not required", "NOT_REQ", "BLANK!")</f>
        <v>BLANK!</v>
      </c>
      <c r="J35" s="84" t="s">
        <v>135</v>
      </c>
    </row>
    <row r="36" spans="3:10">
      <c r="D36" s="280"/>
      <c r="H36" s="84">
        <v>36</v>
      </c>
      <c r="I36" s="82" t="str" cm="1">
        <f t="array" ref="I36">_xlfn.SWITCH('Data Input'!E6, "Yes - PW&amp;RW (Std value)", "YES", "No - PW only (Std value)", "NO", "Other PW &amp; RW ratio", "OTHER", "Other PW only", "OTHER", "PW&amp;RW not required", "NOT_REQ", "BLANK!")</f>
        <v>BLANK!</v>
      </c>
      <c r="J36" s="84" t="s">
        <v>136</v>
      </c>
    </row>
    <row r="37" spans="3:10">
      <c r="D37" s="280"/>
      <c r="H37" s="84">
        <v>37</v>
      </c>
      <c r="I37" s="82" t="str" cm="1">
        <f t="array" ref="I37">_xlfn.SWITCH('Data Input'!E7, "Yes - PW&amp;RW (Std value)", "YES", "No - PW only (Std value)", "NO", "Other PW &amp; RW ratio", "OTHER", "Other PW only", "OTHER", "PW&amp;RW not required", "NOT_REQ", "BLANK!")</f>
        <v>BLANK!</v>
      </c>
      <c r="J37" s="84" t="s">
        <v>137</v>
      </c>
    </row>
    <row r="38" spans="3:10">
      <c r="D38" s="280"/>
      <c r="H38" s="84">
        <v>38</v>
      </c>
      <c r="I38" s="82" t="str" cm="1">
        <f t="array" ref="I38">_xlfn.SWITCH('Data Input'!E8, "Yes - PW&amp;RW (Std value)", "YES", "No - PW only (Std value)", "NO", "Other PW &amp; RW ratio", "OTHER", "Other PW only", "OTHER", "PW&amp;RW not required", "NOT_REQ", "BLANK!")</f>
        <v>BLANK!</v>
      </c>
      <c r="J38" s="84" t="s">
        <v>138</v>
      </c>
    </row>
    <row r="39" spans="3:10">
      <c r="D39" s="280"/>
      <c r="H39" s="84">
        <v>39</v>
      </c>
      <c r="I39" s="82" t="str" cm="1">
        <f t="array" ref="I39">_xlfn.SWITCH('Data Input'!E9, "Yes - PW&amp;RW (Std value)", "YES", "No - PW only (Std value)", "NO", "Other PW &amp; RW ratio", "OTHER", "Other PW only", "OTHER", "PW&amp;RW not required", "NOT_REQ", "BLANK!")</f>
        <v>BLANK!</v>
      </c>
      <c r="J39" s="84" t="s">
        <v>139</v>
      </c>
    </row>
    <row r="40" spans="3:10">
      <c r="D40" s="280"/>
      <c r="H40" s="84">
        <v>40</v>
      </c>
      <c r="I40" s="82" t="str" cm="1">
        <f t="array" ref="I40">_xlfn.SWITCH('Data Input'!E10, "Yes - PW&amp;RW (Std value)", "YES", "No - PW only (Std value)", "NO", "Other PW &amp; RW ratio", "OTHER", "Other PW only", "OTHER", "PW&amp;RW not required", "NOT_REQ", "BLANK!")</f>
        <v>BLANK!</v>
      </c>
      <c r="J40" s="84" t="s">
        <v>140</v>
      </c>
    </row>
    <row r="41" spans="3:10">
      <c r="D41" s="280"/>
      <c r="H41" s="84">
        <v>41</v>
      </c>
      <c r="I41" s="82" t="str" cm="1">
        <f t="array" ref="I41">_xlfn.SWITCH('Data Input'!E11, "Yes - PW&amp;RW (Std value)", "YES", "No - PW only (Std value)", "NO", "Other PW &amp; RW ratio", "OTHER", "Other PW only", "OTHER", "PW&amp;RW not required", "NOT_REQ", "BLANK!")</f>
        <v>BLANK!</v>
      </c>
      <c r="J41" s="84" t="s">
        <v>141</v>
      </c>
    </row>
    <row r="42" spans="3:10">
      <c r="H42" s="84">
        <v>42</v>
      </c>
      <c r="I42" s="82" t="str" cm="1">
        <f t="array" ref="I42">_xlfn.SWITCH('Data Input'!E12, "Yes - PW&amp;RW (Std value)", "YES", "No - PW only (Std value)", "NO", "Other PW &amp; RW ratio", "OTHER", "Other PW only", "OTHER", "PW&amp;RW not required", "NOT_REQ", "BLANK!")</f>
        <v>BLANK!</v>
      </c>
      <c r="J42" s="84" t="s">
        <v>142</v>
      </c>
    </row>
    <row r="43" spans="3:10">
      <c r="H43" s="84">
        <v>43</v>
      </c>
      <c r="I43" s="82" t="str" cm="1">
        <f t="array" ref="I43">_xlfn.SWITCH('Data Input'!E13, "Yes - PW&amp;RW (Std value)", "YES", "No - PW only (Std value)", "NO", "Other PW &amp; RW ratio", "OTHER", "Other PW only", "OTHER", "PW&amp;RW not required", "NOT_REQ", "BLANK!")</f>
        <v>BLANK!</v>
      </c>
      <c r="J43" s="84" t="s">
        <v>143</v>
      </c>
    </row>
    <row r="44" spans="3:10">
      <c r="H44" s="84">
        <v>44</v>
      </c>
      <c r="I44" s="82" t="str" cm="1">
        <f t="array" ref="I44">_xlfn.SWITCH('Data Input'!E14, "Yes - PW&amp;RW (Std value)", "YES", "No - PW only (Std value)", "NO", "Other PW &amp; RW ratio", "OTHER", "Other PW only", "OTHER", "PW&amp;RW not required", "NOT_REQ", "BLANK!")</f>
        <v>BLANK!</v>
      </c>
      <c r="J44" s="84" t="s">
        <v>144</v>
      </c>
    </row>
    <row r="45" spans="3:10">
      <c r="H45" s="84">
        <v>45</v>
      </c>
      <c r="I45" s="82" t="str" cm="1">
        <f t="array" ref="I45">_xlfn.SWITCH('Data Input'!E15, "Yes - PW&amp;RW (Std value)", "YES", "No - PW only (Std value)", "NO", "Other PW &amp; RW ratio", "OTHER", "Other PW only", "OTHER", "PW&amp;RW not required", "NOT_REQ", "BLANK!")</f>
        <v>BLANK!</v>
      </c>
      <c r="J45" s="84" t="s">
        <v>145</v>
      </c>
    </row>
    <row r="46" spans="3:10">
      <c r="H46" s="84">
        <v>46</v>
      </c>
      <c r="I46" s="82" t="str" cm="1">
        <f t="array" ref="I46">_xlfn.SWITCH('Data Input'!E17, "Yes - PW&amp;RW (Std value)", "YES", "No - PW only (Std value)", "NO", "Other PW &amp; RW ratio", "OTHER", "Other PW only", "OTHER", "PW&amp;RW not required", "NOT_REQ", "BLANK!")</f>
        <v>BLANK!</v>
      </c>
      <c r="J46" s="84" t="s">
        <v>146</v>
      </c>
    </row>
    <row r="47" spans="3:10">
      <c r="H47" s="84">
        <v>47</v>
      </c>
      <c r="I47" s="82" t="str" cm="1">
        <f t="array" ref="I47">_xlfn.SWITCH('Data Input'!E18, "Yes - PW&amp;RW (Std value)", "YES", "No - PW only (Std value)", "NO", "Other PW &amp; RW ratio", "OTHER", "Other PW only", "OTHER", "PW&amp;RW not required", "NOT_REQ", "BLANK!")</f>
        <v>BLANK!</v>
      </c>
      <c r="J47" s="84" t="s">
        <v>147</v>
      </c>
    </row>
    <row r="48" spans="3:10">
      <c r="H48" s="84">
        <v>48</v>
      </c>
      <c r="I48" s="82" t="str" cm="1">
        <f t="array" ref="I48">_xlfn.SWITCH('Data Input'!E19, "Yes - PW&amp;RW (Std value)", "YES", "No - PW only (Std value)", "NO", "Other PW &amp; RW ratio", "OTHER", "Other PW only", "OTHER", "PW&amp;RW not required", "NOT_REQ", "BLANK!")</f>
        <v>BLANK!</v>
      </c>
      <c r="J48" s="84" t="s">
        <v>148</v>
      </c>
    </row>
    <row r="49" spans="8:10">
      <c r="H49" s="84">
        <v>49</v>
      </c>
      <c r="I49" s="82" t="str" cm="1">
        <f t="array" ref="I49">_xlfn.SWITCH('Data Input'!E20, "Yes - PW&amp;RW (Std value)", "YES", "No - PW only (Std value)", "NO", "Other PW &amp; RW ratio", "OTHER", "Other PW only", "OTHER", "PW&amp;RW not required", "NOT_REQ", "BLANK!")</f>
        <v>BLANK!</v>
      </c>
      <c r="J49" s="84" t="s">
        <v>149</v>
      </c>
    </row>
    <row r="50" spans="8:10" ht="13.5" thickBot="1">
      <c r="H50" s="84">
        <v>50</v>
      </c>
      <c r="I50" s="83" t="str" cm="1">
        <f t="array" ref="I50">_xlfn.SWITCH('Data Input'!E21, "Yes - PW&amp;RW (Std value)", "YES", "No - PW only (Std value)", "NO", "Other PW &amp; RW ratio", "OTHER", "Other PW only", "OTHER", "PW&amp;RW not required", "NOT_REQ", "BLANK!")</f>
        <v>BLANK!</v>
      </c>
      <c r="J50" s="85" t="s">
        <v>150</v>
      </c>
    </row>
  </sheetData>
  <mergeCells count="1">
    <mergeCell ref="J14:J32"/>
  </mergeCells>
  <phoneticPr fontId="4" type="noConversion"/>
  <pageMargins left="0.7" right="0.7" top="0.75" bottom="0.75" header="0.3" footer="0.3"/>
  <legacyDrawing r:id="rId1"/>
  <tableParts count="7">
    <tablePart r:id="rId2"/>
    <tablePart r:id="rId3"/>
    <tablePart r:id="rId4"/>
    <tablePart r:id="rId5"/>
    <tablePart r:id="rId6"/>
    <tablePart r:id="rId7"/>
    <tablePart r:id="rId8"/>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8ED4B-C8BF-49F4-B7B3-AC47F31CFCFF}">
  <dimension ref="A2:E7"/>
  <sheetViews>
    <sheetView workbookViewId="0">
      <selection activeCell="A19" sqref="A19:XFD19"/>
    </sheetView>
  </sheetViews>
  <sheetFormatPr defaultRowHeight="12.75"/>
  <sheetData>
    <row r="2" spans="1:5">
      <c r="D2" s="12">
        <f>D3/$B$3</f>
        <v>0.59523809523809523</v>
      </c>
      <c r="E2" s="12">
        <f>E3/$B$3</f>
        <v>0.50793650793650802</v>
      </c>
    </row>
    <row r="3" spans="1:5">
      <c r="B3">
        <v>25.2</v>
      </c>
      <c r="D3">
        <v>15</v>
      </c>
      <c r="E3">
        <v>12.8</v>
      </c>
    </row>
    <row r="5" spans="1:5">
      <c r="A5">
        <v>40</v>
      </c>
      <c r="B5">
        <v>630</v>
      </c>
      <c r="C5" s="267">
        <f>A5*B5/1000</f>
        <v>25.2</v>
      </c>
      <c r="D5">
        <f>$C$5*D2</f>
        <v>15</v>
      </c>
      <c r="E5">
        <f>$C$5*E2</f>
        <v>12.800000000000002</v>
      </c>
    </row>
    <row r="6" spans="1:5">
      <c r="A6">
        <v>40</v>
      </c>
      <c r="B6">
        <v>375</v>
      </c>
      <c r="C6" s="267">
        <f t="shared" ref="C6:C7" si="0">A6*B6/1000</f>
        <v>15</v>
      </c>
    </row>
    <row r="7" spans="1:5">
      <c r="A7">
        <v>40</v>
      </c>
      <c r="B7">
        <v>320</v>
      </c>
      <c r="C7" s="267">
        <f t="shared" si="0"/>
        <v>12.8</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529EC-83E6-4973-8108-254342C8E1B2}">
  <dimension ref="B1:F26"/>
  <sheetViews>
    <sheetView workbookViewId="0"/>
  </sheetViews>
  <sheetFormatPr defaultColWidth="9.140625" defaultRowHeight="12.75"/>
  <cols>
    <col min="1" max="1" width="3.7109375" style="4" customWidth="1"/>
    <col min="2" max="2" width="96.7109375" style="4" customWidth="1"/>
    <col min="3" max="3" width="12.5703125" style="4" customWidth="1"/>
    <col min="4" max="4" width="15.5703125" style="4" customWidth="1"/>
    <col min="5" max="5" width="20.28515625" style="4" customWidth="1"/>
    <col min="6" max="6" width="69.85546875" style="7" customWidth="1"/>
    <col min="7" max="16384" width="9.140625" style="4"/>
  </cols>
  <sheetData>
    <row r="1" spans="2:6" s="20" customFormat="1">
      <c r="B1" s="41" t="s">
        <v>34</v>
      </c>
      <c r="C1" s="41" t="s">
        <v>35</v>
      </c>
      <c r="D1" s="41" t="s">
        <v>36</v>
      </c>
      <c r="E1" s="42" t="s">
        <v>47</v>
      </c>
      <c r="F1" s="42" t="s">
        <v>48</v>
      </c>
    </row>
    <row r="2" spans="2:6">
      <c r="B2" s="65" t="s">
        <v>66</v>
      </c>
      <c r="C2" s="66">
        <v>45439</v>
      </c>
      <c r="D2" s="67" t="s">
        <v>63</v>
      </c>
      <c r="E2" s="35" t="s">
        <v>46</v>
      </c>
      <c r="F2" s="68" t="s">
        <v>50</v>
      </c>
    </row>
    <row r="3" spans="2:6" ht="38.25">
      <c r="B3" s="43" t="s">
        <v>51</v>
      </c>
      <c r="C3" s="66">
        <v>45467</v>
      </c>
      <c r="D3" s="67" t="s">
        <v>63</v>
      </c>
      <c r="E3" s="35" t="s">
        <v>46</v>
      </c>
      <c r="F3" s="65" t="s">
        <v>52</v>
      </c>
    </row>
    <row r="4" spans="2:6">
      <c r="B4" s="43" t="s">
        <v>40</v>
      </c>
      <c r="C4" s="66">
        <v>45498</v>
      </c>
      <c r="D4" s="35" t="s">
        <v>49</v>
      </c>
      <c r="E4" s="67" t="s">
        <v>55</v>
      </c>
      <c r="F4" s="65" t="s">
        <v>56</v>
      </c>
    </row>
    <row r="5" spans="2:6">
      <c r="B5" s="43" t="s">
        <v>53</v>
      </c>
      <c r="C5" s="66">
        <v>45467</v>
      </c>
      <c r="D5" s="67" t="s">
        <v>63</v>
      </c>
      <c r="E5" s="67" t="s">
        <v>46</v>
      </c>
      <c r="F5" s="65" t="s">
        <v>54</v>
      </c>
    </row>
    <row r="6" spans="2:6" ht="38.25">
      <c r="B6" s="44" t="s">
        <v>65</v>
      </c>
      <c r="C6" s="69">
        <v>45498</v>
      </c>
      <c r="D6" s="45" t="s">
        <v>73</v>
      </c>
      <c r="E6" s="45" t="s">
        <v>72</v>
      </c>
      <c r="F6" s="70"/>
    </row>
    <row r="7" spans="2:6" ht="25.5">
      <c r="B7" s="44" t="s">
        <v>116</v>
      </c>
      <c r="C7" s="69">
        <v>45498</v>
      </c>
      <c r="D7" s="45" t="s">
        <v>73</v>
      </c>
      <c r="E7" s="45" t="s">
        <v>72</v>
      </c>
      <c r="F7" s="70"/>
    </row>
    <row r="8" spans="2:6">
      <c r="B8" s="71" t="s">
        <v>64</v>
      </c>
      <c r="C8" s="72"/>
      <c r="D8" s="73" t="s">
        <v>63</v>
      </c>
      <c r="E8" s="73" t="s">
        <v>72</v>
      </c>
      <c r="F8" s="74"/>
    </row>
    <row r="9" spans="2:6">
      <c r="B9" s="31" t="s">
        <v>68</v>
      </c>
      <c r="C9" s="66">
        <v>45498</v>
      </c>
      <c r="D9" s="67" t="s">
        <v>67</v>
      </c>
      <c r="E9" s="67" t="s">
        <v>72</v>
      </c>
      <c r="F9" s="65" t="s">
        <v>87</v>
      </c>
    </row>
    <row r="10" spans="2:6">
      <c r="B10" s="31" t="s">
        <v>69</v>
      </c>
      <c r="C10" s="66">
        <v>45498</v>
      </c>
      <c r="D10" s="67" t="s">
        <v>67</v>
      </c>
      <c r="E10" s="67" t="s">
        <v>72</v>
      </c>
      <c r="F10" s="65" t="s">
        <v>88</v>
      </c>
    </row>
    <row r="11" spans="2:6" ht="25.5">
      <c r="B11" s="32" t="s">
        <v>70</v>
      </c>
      <c r="C11" s="35"/>
      <c r="D11" s="35"/>
      <c r="E11" s="35" t="s">
        <v>72</v>
      </c>
      <c r="F11" s="68" t="s">
        <v>71</v>
      </c>
    </row>
    <row r="12" spans="2:6" ht="25.5">
      <c r="B12" s="31" t="s">
        <v>89</v>
      </c>
      <c r="C12" s="66">
        <v>45533</v>
      </c>
      <c r="D12" s="67" t="s">
        <v>63</v>
      </c>
      <c r="E12" s="67" t="s">
        <v>72</v>
      </c>
      <c r="F12" s="65" t="s">
        <v>117</v>
      </c>
    </row>
    <row r="13" spans="2:6" ht="114.75">
      <c r="B13" s="31" t="s">
        <v>127</v>
      </c>
      <c r="C13" s="66">
        <v>45537</v>
      </c>
      <c r="D13" s="67" t="s">
        <v>111</v>
      </c>
      <c r="E13" s="67" t="s">
        <v>130</v>
      </c>
      <c r="F13" s="31" t="s">
        <v>126</v>
      </c>
    </row>
    <row r="14" spans="2:6">
      <c r="B14" s="31" t="s">
        <v>112</v>
      </c>
      <c r="C14" s="66">
        <v>45537</v>
      </c>
      <c r="D14" s="67" t="s">
        <v>111</v>
      </c>
      <c r="E14" s="67" t="s">
        <v>130</v>
      </c>
      <c r="F14" s="65"/>
    </row>
    <row r="15" spans="2:6" ht="25.5">
      <c r="B15" s="31" t="s">
        <v>118</v>
      </c>
      <c r="C15" s="66">
        <v>45537</v>
      </c>
      <c r="D15" s="67" t="s">
        <v>111</v>
      </c>
      <c r="E15" s="67" t="s">
        <v>131</v>
      </c>
      <c r="F15" s="65"/>
    </row>
    <row r="16" spans="2:6">
      <c r="B16" s="31" t="s">
        <v>119</v>
      </c>
      <c r="C16" s="66">
        <v>45537</v>
      </c>
      <c r="D16" s="67" t="s">
        <v>111</v>
      </c>
      <c r="E16" s="67" t="s">
        <v>72</v>
      </c>
      <c r="F16" s="65"/>
    </row>
    <row r="17" spans="2:2">
      <c r="B17" s="16"/>
    </row>
    <row r="18" spans="2:2">
      <c r="B18" s="16"/>
    </row>
    <row r="19" spans="2:2">
      <c r="B19" s="16"/>
    </row>
    <row r="20" spans="2:2">
      <c r="B20" s="16"/>
    </row>
    <row r="21" spans="2:2">
      <c r="B21" s="16"/>
    </row>
    <row r="22" spans="2:2">
      <c r="B22" s="16"/>
    </row>
    <row r="23" spans="2:2">
      <c r="B23" s="16"/>
    </row>
    <row r="24" spans="2:2">
      <c r="B24" s="16"/>
    </row>
    <row r="25" spans="2:2">
      <c r="B25" s="16"/>
    </row>
    <row r="26" spans="2:2">
      <c r="B26" s="16"/>
    </row>
  </sheetData>
  <autoFilter ref="B1:F1" xr:uid="{8F5529EC-83E6-4973-8108-254342C8E1B2}"/>
  <pageMargins left="0.7" right="0.7" top="0.75" bottom="0.75" header="0.3" footer="0.3"/>
  <pageSetup paperSize="9" orientation="portrait" verticalDpi="598"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66CFAF54427464E928643E40D33B6FB" ma:contentTypeVersion="22" ma:contentTypeDescription="Create a new document." ma:contentTypeScope="" ma:versionID="34743b24cd2ad844b2800c99a1b11216">
  <xsd:schema xmlns:xsd="http://www.w3.org/2001/XMLSchema" xmlns:xs="http://www.w3.org/2001/XMLSchema" xmlns:p="http://schemas.microsoft.com/office/2006/metadata/properties" xmlns:ns2="266e4eb9-981b-4f90-963e-84d9519b4fa5" xmlns:ns3="115c2449-2d69-4dcc-ab9c-ccd66e33817c" targetNamespace="http://schemas.microsoft.com/office/2006/metadata/properties" ma:root="true" ma:fieldsID="c5fbee55925aedc635d7766719692342" ns2:_="" ns3:_="">
    <xsd:import namespace="266e4eb9-981b-4f90-963e-84d9519b4fa5"/>
    <xsd:import namespace="115c2449-2d69-4dcc-ab9c-ccd66e33817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_Flow_SignoffStatu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6e4eb9-981b-4f90-963e-84d9519b4f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_Flow_SignoffStatus" ma:index="18" nillable="true" ma:displayName="Sign-off status" ma:internalName="Sign_x002d_off_x0020_status">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59e01b71-7c18-4006-bfa5-456d3a880d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15c2449-2d69-4dcc-ab9c-ccd66e33817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3c2f396b-f052-464a-9ab4-d0ae7d73da00}" ma:internalName="TaxCatchAll" ma:showField="CatchAllData" ma:web="115c2449-2d69-4dcc-ab9c-ccd66e33817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Y D A A B Q S w M E F A A C A A g A R 6 S 6 W E O J Z 2 G m A A A A 9 w A A A B I A H A B D b 2 5 m a W c v U G F j a 2 F n Z S 5 4 b W w g o h g A K K A U A A A A A A A A A A A A A A A A A A A A A A A A A A A A h Y / R C o I w G I V f R X b v N h d G y J x E t w l B F N 2 O u X S k v + F m 8 9 2 6 6 J F 6 h Y y y u u v y n P M d O O d + v f F s a O r g o j t r W k h R h C k K N K i 2 M F C m q H f H c I E y w T d S n W S p g x E G m w z W p K h y 7 p w Q 4 r 3 H f o b b r i S M 0 o g c 8 v V W V b q R o Q H r J C i N P q 3 i f w s J v n + N E Q x H j O I 4 n s e Y c j K 5 P D f w J d g 4 + J n + m H z V 1 6 7 v t N A Q L n e c T J K T 9 w n x A F B L A w Q U A A I A C A B H p L p 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R 6 S 6 W C i K R 7 g O A A A A E Q A A A B M A H A B G b 3 J t d W x h c y 9 T Z W N 0 a W 9 u M S 5 t I K I Y A C i g F A A A A A A A A A A A A A A A A A A A A A A A A A A A A C t O T S 7 J z M 9 T C I b Q h t Y A U E s B A i 0 A F A A C A A g A R 6 S 6 W E O J Z 2 G m A A A A 9 w A A A B I A A A A A A A A A A A A A A A A A A A A A A E N v b m Z p Z y 9 Q Y W N r Y W d l L n h t b F B L A Q I t A B Q A A g A I A E e k u l g P y u m r p A A A A O k A A A A T A A A A A A A A A A A A A A A A A P I A A A B b Q 2 9 u d G V u d F 9 U e X B l c 1 0 u e G 1 s U E s B A i 0 A F A A C A A g A R 6 S 6 W C 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E g h F R 0 o r 0 d D k p o 2 y J y n D q E A A A A A A g A A A A A A A 2 Y A A M A A A A A Q A A A A / 7 y x h a Z 6 s A R k n n 6 R 5 G t M h g A A A A A E g A A A o A A A A B A A A A A T F k I m m F 1 a g 0 / m 1 O H 3 4 o B F U A A A A N k Q I e m X X M g J s v G o c N J k s h s k x K x M r q b q 3 N 9 R 0 D o o / u 8 E b c g E H q / 3 v h b B T G w 7 h 2 W g p S 4 L L g + 5 t k 1 W W P n F m R o b X X 5 S I P X z 6 N U S 2 V N E E N x P P I x b F A A A A J W r q I Q G x B E q p p + e D F K b R q 6 6 5 v A F < / D a t a M a s h u p > 
</file>

<file path=customXml/item4.xml><?xml version="1.0" encoding="utf-8"?>
<p:properties xmlns:p="http://schemas.microsoft.com/office/2006/metadata/properties" xmlns:xsi="http://www.w3.org/2001/XMLSchema-instance" xmlns:pc="http://schemas.microsoft.com/office/infopath/2007/PartnerControls">
  <documentManagement>
    <_Flow_SignoffStatus xmlns="266e4eb9-981b-4f90-963e-84d9519b4fa5" xsi:nil="true"/>
    <lcf76f155ced4ddcb4097134ff3c332f xmlns="266e4eb9-981b-4f90-963e-84d9519b4fa5">
      <Terms xmlns="http://schemas.microsoft.com/office/infopath/2007/PartnerControls"/>
    </lcf76f155ced4ddcb4097134ff3c332f>
    <TaxCatchAll xmlns="115c2449-2d69-4dcc-ab9c-ccd66e33817c" xsi:nil="true"/>
  </documentManagement>
</p:properties>
</file>

<file path=customXml/itemProps1.xml><?xml version="1.0" encoding="utf-8"?>
<ds:datastoreItem xmlns:ds="http://schemas.openxmlformats.org/officeDocument/2006/customXml" ds:itemID="{1E5C865A-B5BB-406B-BD78-AF46D7C417C2}">
  <ds:schemaRefs>
    <ds:schemaRef ds:uri="http://schemas.microsoft.com/sharepoint/v3/contenttype/forms"/>
  </ds:schemaRefs>
</ds:datastoreItem>
</file>

<file path=customXml/itemProps2.xml><?xml version="1.0" encoding="utf-8"?>
<ds:datastoreItem xmlns:ds="http://schemas.openxmlformats.org/officeDocument/2006/customXml" ds:itemID="{1E4BBA2C-FE58-48DB-A3FA-D4D5465094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66e4eb9-981b-4f90-963e-84d9519b4fa5"/>
    <ds:schemaRef ds:uri="115c2449-2d69-4dcc-ab9c-ccd66e3381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5EA7194-9A49-4E5D-9D21-E898D1EDDB70}">
  <ds:schemaRefs>
    <ds:schemaRef ds:uri="http://schemas.microsoft.com/DataMashup"/>
  </ds:schemaRefs>
</ds:datastoreItem>
</file>

<file path=customXml/itemProps4.xml><?xml version="1.0" encoding="utf-8"?>
<ds:datastoreItem xmlns:ds="http://schemas.openxmlformats.org/officeDocument/2006/customXml" ds:itemID="{044604A9-0790-4938-90DB-3779436E07A8}">
  <ds:schemaRefs>
    <ds:schemaRef ds:uri="http://schemas.microsoft.com/office/2006/metadata/properties"/>
    <ds:schemaRef ds:uri="266e4eb9-981b-4f90-963e-84d9519b4fa5"/>
    <ds:schemaRef ds:uri="http://purl.org/dc/elements/1.1/"/>
    <ds:schemaRef ds:uri="http://schemas.openxmlformats.org/package/2006/metadata/core-properties"/>
    <ds:schemaRef ds:uri="http://purl.org/dc/dcmitype/"/>
    <ds:schemaRef ds:uri="http://purl.org/dc/terms/"/>
    <ds:schemaRef ds:uri="http://schemas.microsoft.com/office/2006/documentManagement/types"/>
    <ds:schemaRef ds:uri="http://schemas.microsoft.com/office/infopath/2007/PartnerControls"/>
    <ds:schemaRef ds:uri="115c2449-2d69-4dcc-ab9c-ccd66e33817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About &amp; How to Use</vt:lpstr>
      <vt:lpstr>Summary</vt:lpstr>
      <vt:lpstr>Data Input</vt:lpstr>
      <vt:lpstr>Consultant Report</vt:lpstr>
      <vt:lpstr>Concept of Additional Demand</vt:lpstr>
      <vt:lpstr>ADWUT</vt:lpstr>
      <vt:lpstr>Lists</vt:lpstr>
      <vt:lpstr>DELETE</vt:lpstr>
      <vt:lpstr>Feedback</vt:lpstr>
      <vt:lpstr>Algorithm</vt:lpstr>
      <vt:lpstr>Entry_for_KeyMetric</vt:lpstr>
      <vt:lpstr>Key_Metric</vt:lpstr>
      <vt:lpstr>Metric_Unit</vt:lpstr>
      <vt:lpstr>NO</vt:lpstr>
      <vt:lpstr>NOT_REQ</vt:lpstr>
      <vt:lpstr>OTHER</vt:lpstr>
      <vt:lpstr>'About &amp; How to Use'!Print_Area</vt:lpstr>
      <vt:lpstr>'Consultant Report'!Print_Area</vt:lpstr>
      <vt:lpstr>Summary!Print_Area</vt:lpstr>
      <vt:lpstr>Residential_HighRise_MixedUse</vt:lpstr>
      <vt:lpstr>RW</vt:lpstr>
      <vt:lpstr>YES</vt:lpstr>
    </vt:vector>
  </TitlesOfParts>
  <Manager/>
  <Company>Sydney Water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Flow Submission Tool (FST)</dc:title>
  <dc:subject>Flow Submission</dc:subject>
  <dc:creator>Mohammad Hassan</dc:creator>
  <cp:keywords/>
  <dc:description/>
  <cp:lastModifiedBy>Mohammad Hassan</cp:lastModifiedBy>
  <cp:revision/>
  <cp:lastPrinted>2025-01-20T01:04:34Z</cp:lastPrinted>
  <dcterms:created xsi:type="dcterms:W3CDTF">2009-09-14T23:11:37Z</dcterms:created>
  <dcterms:modified xsi:type="dcterms:W3CDTF">2025-03-28T01:22:47Z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dDocName">
    <vt:lpwstr>2908211</vt:lpwstr>
  </property>
  <property fmtid="{D5CDD505-2E9C-101B-9397-08002B2CF9AE}" pid="3" name="DISProperties">
    <vt:lpwstr>DISdDocName,DIScgiUrl,DISdUser,DISdID,DISidcName,DISTaskPaneUrl</vt:lpwstr>
  </property>
  <property fmtid="{D5CDD505-2E9C-101B-9397-08002B2CF9AE}" pid="4" name="DIScgiUrl">
    <vt:lpwstr>https://elogin.ads.swc/swimcommon/idcplg</vt:lpwstr>
  </property>
  <property fmtid="{D5CDD505-2E9C-101B-9397-08002B2CF9AE}" pid="5" name="DISdUser">
    <vt:lpwstr>3up</vt:lpwstr>
  </property>
  <property fmtid="{D5CDD505-2E9C-101B-9397-08002B2CF9AE}" pid="6" name="DISdID">
    <vt:lpwstr>3127020</vt:lpwstr>
  </property>
  <property fmtid="{D5CDD505-2E9C-101B-9397-08002B2CF9AE}" pid="7" name="DISidcName">
    <vt:lpwstr>CM</vt:lpwstr>
  </property>
  <property fmtid="{D5CDD505-2E9C-101B-9397-08002B2CF9AE}" pid="8" name="DISTaskPaneUrl">
    <vt:lpwstr>https://elogin.ads.swc/swimcommon/idcplg?IdcService=DESKTOP_DOC_INFO&amp;dDocName=2908211&amp;dID=3127020&amp;ClientControlled=DocMan,taskpane&amp;coreContentOnly=1</vt:lpwstr>
  </property>
  <property fmtid="{D5CDD505-2E9C-101B-9397-08002B2CF9AE}" pid="9" name="ContentTypeId">
    <vt:lpwstr>0x010100766CFAF54427464E928643E40D33B6FB</vt:lpwstr>
  </property>
  <property fmtid="{D5CDD505-2E9C-101B-9397-08002B2CF9AE}" pid="10" name="MediaServiceImageTags">
    <vt:lpwstr/>
  </property>
</Properties>
</file>